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NG\2024 FINANCIAL REPORTS\FINANCIAL STATEMENTS 2024\12 DECEMBER 2024 FS\TRIAL BALANCE\"/>
    </mc:Choice>
  </mc:AlternateContent>
  <bookViews>
    <workbookView xWindow="0" yWindow="0" windowWidth="20730" windowHeight="8610" tabRatio="879"/>
  </bookViews>
  <sheets>
    <sheet name="FC1SGE" sheetId="6" r:id="rId1"/>
    <sheet name="FC1SFP" sheetId="7" r:id="rId2"/>
    <sheet name="FC1CSFP" sheetId="16" r:id="rId3"/>
    <sheet name="FC1DIS" sheetId="8" r:id="rId4"/>
    <sheet name="FC1CIS" sheetId="15" r:id="rId5"/>
    <sheet name="tb control" sheetId="4" state="hidden" r:id="rId6"/>
    <sheet name="FC1-Pre TB 2024" sheetId="22" r:id="rId7"/>
    <sheet name="FC1-Post TB 2024" sheetId="21" r:id="rId8"/>
    <sheet name="Restated FC1-Pre TB 2023" sheetId="33" r:id="rId9"/>
    <sheet name="Restated FC1-Post TB 2023" sheetId="34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_xlnm._FilterDatabase" localSheetId="3" hidden="1">FC1DIS!$I$12:$N$12</definedName>
    <definedName name="_xlnm._FilterDatabase" localSheetId="7" hidden="1">'FC1-Post TB 2024'!$A$9:$AA$277</definedName>
    <definedName name="_xlnm._FilterDatabase" localSheetId="6" hidden="1">'FC1-Pre TB 2024'!$A$9:$AA$284</definedName>
    <definedName name="_xlnm._FilterDatabase" localSheetId="1" hidden="1">FC1SFP!$A$6:$WVP$238</definedName>
    <definedName name="_xlnm._FilterDatabase" localSheetId="0" hidden="1">FC1SGE!$I$12:$L$15</definedName>
    <definedName name="_xlnm._FilterDatabase" localSheetId="9" hidden="1">'Restated FC1-Post TB 2023'!$A$9:$AB$271</definedName>
    <definedName name="_xlnm._FilterDatabase" localSheetId="8" hidden="1">'Restated FC1-Pre TB 2023'!$A$10:$AO$271</definedName>
    <definedName name="_xlnm._FilterDatabase" localSheetId="5" hidden="1">'tb control'!$A$10:$I$275</definedName>
    <definedName name="ARMM" localSheetId="7">#REF!</definedName>
    <definedName name="ARMM" localSheetId="6">#REF!</definedName>
    <definedName name="ARMM" localSheetId="9">#REF!</definedName>
    <definedName name="ARMM" localSheetId="8">#REF!</definedName>
    <definedName name="ARMM">#REF!</definedName>
    <definedName name="CAR" localSheetId="7">#REF!</definedName>
    <definedName name="CAR" localSheetId="6">#REF!</definedName>
    <definedName name="CAR" localSheetId="9">#REF!</definedName>
    <definedName name="CAR" localSheetId="8">#REF!</definedName>
    <definedName name="CAR">#REF!</definedName>
    <definedName name="CARAGA" localSheetId="7">#REF!</definedName>
    <definedName name="CARAGA" localSheetId="6">#REF!</definedName>
    <definedName name="CARAGA" localSheetId="9">#REF!</definedName>
    <definedName name="CARAGA" localSheetId="8">#REF!</definedName>
    <definedName name="CARAGA">#REF!</definedName>
    <definedName name="cdo">#REF!</definedName>
    <definedName name="CO" localSheetId="7">#REF!</definedName>
    <definedName name="CO" localSheetId="6">#REF!</definedName>
    <definedName name="CO" localSheetId="9">#REF!</definedName>
    <definedName name="CO" localSheetId="8">#REF!</definedName>
    <definedName name="CO">#REF!</definedName>
    <definedName name="DOSE" localSheetId="7">#REF!</definedName>
    <definedName name="DOSE" localSheetId="6">#REF!</definedName>
    <definedName name="DOSE" localSheetId="9">#REF!</definedName>
    <definedName name="DOSE" localSheetId="8">#REF!</definedName>
    <definedName name="DOSE">#REF!</definedName>
    <definedName name="Excel_BuiltIn__FilterDatabase_1">'[1]DBASE.DISB GOP'!$A$12:$IV$316</definedName>
    <definedName name="Excel_BuiltIn__FilterDatabase_2">#REF!</definedName>
    <definedName name="FIVE" localSheetId="7">#REF!</definedName>
    <definedName name="FIVE" localSheetId="6">#REF!</definedName>
    <definedName name="FIVE" localSheetId="9">#REF!</definedName>
    <definedName name="FIVE" localSheetId="8">#REF!</definedName>
    <definedName name="FIVE">#REF!</definedName>
    <definedName name="FOUR" localSheetId="7">#REF!</definedName>
    <definedName name="FOUR" localSheetId="6">#REF!</definedName>
    <definedName name="FOUR" localSheetId="9">#REF!</definedName>
    <definedName name="FOUR" localSheetId="8">#REF!</definedName>
    <definedName name="FOUR">#REF!</definedName>
    <definedName name="NCR" localSheetId="7">#REF!</definedName>
    <definedName name="NCR" localSheetId="6">#REF!</definedName>
    <definedName name="NCR" localSheetId="9">#REF!</definedName>
    <definedName name="NCR" localSheetId="8">#REF!</definedName>
    <definedName name="NCR">#REF!</definedName>
    <definedName name="NINE" localSheetId="7">#REF!</definedName>
    <definedName name="NINE" localSheetId="6">#REF!</definedName>
    <definedName name="NINE" localSheetId="9">#REF!</definedName>
    <definedName name="NINE" localSheetId="8">#REF!</definedName>
    <definedName name="NINE">#REF!</definedName>
    <definedName name="o">#REF!</definedName>
    <definedName name="ONE" localSheetId="7">#REF!</definedName>
    <definedName name="ONE" localSheetId="6">#REF!</definedName>
    <definedName name="ONE" localSheetId="9">#REF!</definedName>
    <definedName name="ONE" localSheetId="8">#REF!</definedName>
    <definedName name="ONE">#REF!</definedName>
    <definedName name="ONSE" localSheetId="7">#REF!</definedName>
    <definedName name="ONSE" localSheetId="6">#REF!</definedName>
    <definedName name="ONSE" localSheetId="9">#REF!</definedName>
    <definedName name="ONSE" localSheetId="8">#REF!</definedName>
    <definedName name="ONSE">#REF!</definedName>
    <definedName name="OTSO" localSheetId="7">#REF!</definedName>
    <definedName name="OTSO" localSheetId="6">#REF!</definedName>
    <definedName name="OTSO" localSheetId="9">#REF!</definedName>
    <definedName name="OTSO" localSheetId="8">#REF!</definedName>
    <definedName name="OTSO">#REF!</definedName>
    <definedName name="_xlnm.Print_Area" localSheetId="4">FC1CIS!$A$1:$H$38</definedName>
    <definedName name="_xlnm.Print_Area" localSheetId="2">FC1CSFP!$A$1:$K$60</definedName>
    <definedName name="_xlnm.Print_Area" localSheetId="3">FC1DIS!$A$1:$P$289</definedName>
    <definedName name="_xlnm.Print_Area" localSheetId="7">'FC1-Post TB 2024'!$A$1:$E$284</definedName>
    <definedName name="_xlnm.Print_Area" localSheetId="6">'FC1-Pre TB 2024'!$A$1:$E$284</definedName>
    <definedName name="_xlnm.Print_Area" localSheetId="1">FC1SFP!$A$1:$N$247</definedName>
    <definedName name="_xlnm.Print_Area" localSheetId="0">FC1SGE!$A$1:$N$31</definedName>
    <definedName name="_xlnm.Print_Area" localSheetId="9">'Restated FC1-Post TB 2023'!$A$1:$H$275</definedName>
    <definedName name="_xlnm.Print_Area" localSheetId="8">'Restated FC1-Pre TB 2023'!$A$1:$I$284</definedName>
    <definedName name="_xlnm.Print_Area" localSheetId="5">'tb control'!$A$1:$E$284</definedName>
    <definedName name="Print_Area_1">'[1]DBASE.DISB GOP'!$K$12:$K$316</definedName>
    <definedName name="Print_Area_2">#REF!</definedName>
    <definedName name="_xlnm.Print_Titles" localSheetId="7">'FC1-Post TB 2024'!$7:$9</definedName>
    <definedName name="_xlnm.Print_Titles" localSheetId="6">'FC1-Pre TB 2024'!$7:$9</definedName>
    <definedName name="_xlnm.Print_Titles" localSheetId="9">'Restated FC1-Post TB 2023'!$7:$9</definedName>
    <definedName name="_xlnm.Print_Titles" localSheetId="8">'Restated FC1-Pre TB 2023'!$7:$9</definedName>
    <definedName name="_xlnm.Print_Titles" localSheetId="5">'tb control'!$7:$9</definedName>
    <definedName name="Print_Titles_1">'[1]DBASE.DISB GOP'!$A$10:$IV$13</definedName>
    <definedName name="Print_Titles_2">#REF!</definedName>
    <definedName name="printing">#REF!</definedName>
    <definedName name="printingdecember">#REF!</definedName>
    <definedName name="QuarterResults">#REF!</definedName>
    <definedName name="ROCO" localSheetId="7">#REF!</definedName>
    <definedName name="ROCO" localSheetId="6">#REF!</definedName>
    <definedName name="ROCO" localSheetId="9">#REF!</definedName>
    <definedName name="ROCO" localSheetId="8">#REF!</definedName>
    <definedName name="ROCO">#REF!</definedName>
    <definedName name="SEVEN" localSheetId="7">#REF!</definedName>
    <definedName name="SEVEN" localSheetId="6">#REF!</definedName>
    <definedName name="SEVEN" localSheetId="9">#REF!</definedName>
    <definedName name="SEVEN" localSheetId="8">#REF!</definedName>
    <definedName name="SEVEN">#REF!</definedName>
    <definedName name="SIX" localSheetId="7">#REF!</definedName>
    <definedName name="SIX" localSheetId="6">#REF!</definedName>
    <definedName name="SIX" localSheetId="9">#REF!</definedName>
    <definedName name="SIX" localSheetId="8">#REF!</definedName>
    <definedName name="SIX">#REF!</definedName>
    <definedName name="TEN" localSheetId="7">#REF!</definedName>
    <definedName name="TEN" localSheetId="6">#REF!</definedName>
    <definedName name="TEN" localSheetId="9">#REF!</definedName>
    <definedName name="TEN" localSheetId="8">#REF!</definedName>
    <definedName name="TEN">#REF!</definedName>
    <definedName name="THREE" localSheetId="7">#REF!</definedName>
    <definedName name="THREE" localSheetId="6">#REF!</definedName>
    <definedName name="THREE" localSheetId="9">#REF!</definedName>
    <definedName name="THREE" localSheetId="8">#REF!</definedName>
    <definedName name="THREE">#REF!</definedName>
    <definedName name="TWO" localSheetId="7">#REF!</definedName>
    <definedName name="TWO" localSheetId="6">#REF!</definedName>
    <definedName name="TWO" localSheetId="9">#REF!</definedName>
    <definedName name="TWO" localSheetId="8">#REF!</definedName>
    <definedName name="TWO">#REF!</definedName>
  </definedNames>
  <calcPr calcId="152511"/>
</workbook>
</file>

<file path=xl/calcChain.xml><?xml version="1.0" encoding="utf-8"?>
<calcChain xmlns="http://schemas.openxmlformats.org/spreadsheetml/2006/main">
  <c r="AB121" i="34" l="1"/>
  <c r="AB122" i="34"/>
  <c r="AB123" i="34"/>
  <c r="AB124" i="34"/>
  <c r="AB125" i="34"/>
  <c r="AB126" i="34"/>
  <c r="AB127" i="34"/>
  <c r="AB128" i="34"/>
  <c r="AB129" i="34"/>
  <c r="AB130" i="34"/>
  <c r="AB131" i="34"/>
  <c r="AB132" i="34"/>
  <c r="AB133" i="34"/>
  <c r="AB134" i="34"/>
  <c r="AB135" i="34"/>
  <c r="AB136" i="34"/>
  <c r="AB137" i="34"/>
  <c r="AB138" i="34"/>
  <c r="AB139" i="34"/>
  <c r="AB140" i="34"/>
  <c r="AB141" i="34"/>
  <c r="AB142" i="34"/>
  <c r="AB143" i="34"/>
  <c r="AB144" i="34"/>
  <c r="AB145" i="34"/>
  <c r="AB146" i="34"/>
  <c r="AB147" i="34"/>
  <c r="AB148" i="34"/>
  <c r="AB149" i="34"/>
  <c r="AB150" i="34"/>
  <c r="AB151" i="34"/>
  <c r="AB152" i="34"/>
  <c r="AB153" i="34"/>
  <c r="AB154" i="34"/>
  <c r="AB155" i="34"/>
  <c r="AB156" i="34"/>
  <c r="AB157" i="34"/>
  <c r="AB158" i="34"/>
  <c r="AB159" i="34"/>
  <c r="AB160" i="34"/>
  <c r="AB161" i="34"/>
  <c r="AB162" i="34"/>
  <c r="AB163" i="34"/>
  <c r="AB164" i="34"/>
  <c r="AB165" i="34"/>
  <c r="AB166" i="34"/>
  <c r="AB167" i="34"/>
  <c r="AB168" i="34"/>
  <c r="AB169" i="34"/>
  <c r="AB170" i="34"/>
  <c r="AB171" i="34"/>
  <c r="AB172" i="34"/>
  <c r="AB173" i="34"/>
  <c r="AB174" i="34"/>
  <c r="AB175" i="34"/>
  <c r="AB176" i="34"/>
  <c r="AB177" i="34"/>
  <c r="AB178" i="34"/>
  <c r="AB179" i="34"/>
  <c r="AB180" i="34"/>
  <c r="AB181" i="34"/>
  <c r="AB182" i="34"/>
  <c r="AB183" i="34"/>
  <c r="AB184" i="34"/>
  <c r="AB185" i="34"/>
  <c r="AB186" i="34"/>
  <c r="AB187" i="34"/>
  <c r="AB188" i="34"/>
  <c r="AB189" i="34"/>
  <c r="AB190" i="34"/>
  <c r="AB191" i="34"/>
  <c r="AB192" i="34"/>
  <c r="AB193" i="34"/>
  <c r="AB194" i="34"/>
  <c r="AB195" i="34"/>
  <c r="AB196" i="34"/>
  <c r="AB197" i="34"/>
  <c r="AB198" i="34"/>
  <c r="AB199" i="34"/>
  <c r="AB200" i="34"/>
  <c r="AB201" i="34"/>
  <c r="AB202" i="34"/>
  <c r="AB203" i="34"/>
  <c r="AB204" i="34"/>
  <c r="AB205" i="34"/>
  <c r="AB206" i="34"/>
  <c r="AB207" i="34"/>
  <c r="AB208" i="34"/>
  <c r="AB209" i="34"/>
  <c r="AB210" i="34"/>
  <c r="AB211" i="34"/>
  <c r="AB212" i="34"/>
  <c r="AB213" i="34"/>
  <c r="AB214" i="34"/>
  <c r="AB215" i="34"/>
  <c r="AB216" i="34"/>
  <c r="AB217" i="34"/>
  <c r="AB218" i="34"/>
  <c r="AB219" i="34"/>
  <c r="AB220" i="34"/>
  <c r="AB221" i="34"/>
  <c r="AB222" i="34"/>
  <c r="AB223" i="34"/>
  <c r="AB224" i="34"/>
  <c r="AB225" i="34"/>
  <c r="AB226" i="34"/>
  <c r="AB227" i="34"/>
  <c r="AB228" i="34"/>
  <c r="AB229" i="34"/>
  <c r="AB230" i="34"/>
  <c r="AB231" i="34"/>
  <c r="AB232" i="34"/>
  <c r="AB233" i="34"/>
  <c r="AB234" i="34"/>
  <c r="AB235" i="34"/>
  <c r="AB236" i="34"/>
  <c r="AB237" i="34"/>
  <c r="AB238" i="34"/>
  <c r="AB239" i="34"/>
  <c r="AB240" i="34"/>
  <c r="AB241" i="34"/>
  <c r="AB242" i="34"/>
  <c r="AB243" i="34"/>
  <c r="AB244" i="34"/>
  <c r="AB245" i="34"/>
  <c r="AB246" i="34"/>
  <c r="AB247" i="34"/>
  <c r="AB248" i="34"/>
  <c r="AB249" i="34"/>
  <c r="AB250" i="34"/>
  <c r="AB251" i="34"/>
  <c r="AB252" i="34"/>
  <c r="AB253" i="34"/>
  <c r="AB254" i="34"/>
  <c r="AB255" i="34"/>
  <c r="AB256" i="34"/>
  <c r="AB257" i="34"/>
  <c r="AB258" i="34"/>
  <c r="AB259" i="34"/>
  <c r="AB260" i="34"/>
  <c r="AB261" i="34"/>
  <c r="AB262" i="34"/>
  <c r="AB263" i="34"/>
  <c r="AB264" i="34"/>
  <c r="AB265" i="34"/>
  <c r="AB266" i="34"/>
  <c r="AB267" i="34"/>
  <c r="AB268" i="34"/>
  <c r="H28" i="15" l="1"/>
  <c r="B28" i="15"/>
  <c r="N281" i="8"/>
  <c r="M281" i="8"/>
  <c r="L281" i="8"/>
  <c r="K281" i="8"/>
  <c r="J281" i="8"/>
  <c r="J232" i="8" l="1"/>
  <c r="K232" i="8"/>
  <c r="L231" i="8"/>
  <c r="L232" i="8" s="1"/>
  <c r="N237" i="7" l="1"/>
  <c r="N233" i="7"/>
  <c r="N232" i="7"/>
  <c r="N231" i="7"/>
  <c r="N229" i="7"/>
  <c r="N227" i="7"/>
  <c r="N223" i="7"/>
  <c r="N220" i="7"/>
  <c r="N216" i="7"/>
  <c r="N214" i="7"/>
  <c r="N192" i="7"/>
  <c r="N188" i="7"/>
  <c r="N187" i="7"/>
  <c r="N186" i="7"/>
  <c r="N185" i="7"/>
  <c r="N167" i="7"/>
  <c r="N162" i="7"/>
  <c r="N158" i="7"/>
  <c r="N153" i="7"/>
  <c r="N148" i="7"/>
  <c r="N119" i="7"/>
  <c r="N111" i="7"/>
  <c r="N106" i="7"/>
  <c r="N102" i="7"/>
  <c r="N86" i="7"/>
  <c r="N76" i="7"/>
  <c r="N66" i="7"/>
  <c r="N57" i="7"/>
  <c r="N52" i="7"/>
  <c r="N50" i="7"/>
  <c r="G86" i="33" l="1"/>
  <c r="F257" i="33"/>
  <c r="E11" i="4" l="1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D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D79" i="4"/>
  <c r="E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E95" i="4"/>
  <c r="D96" i="4"/>
  <c r="D97" i="4"/>
  <c r="D98" i="4"/>
  <c r="E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E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D189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D220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D233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10" i="4"/>
  <c r="E273" i="22" l="1"/>
  <c r="D82" i="22"/>
  <c r="F181" i="33"/>
  <c r="G36" i="33"/>
  <c r="J243" i="8" l="1"/>
  <c r="K243" i="8"/>
  <c r="L243" i="8"/>
  <c r="M243" i="8"/>
  <c r="N243" i="8"/>
  <c r="G276" i="4" l="1"/>
  <c r="E271" i="22"/>
  <c r="G30" i="33" l="1"/>
  <c r="G241" i="33"/>
  <c r="F120" i="33"/>
  <c r="G120" i="33"/>
  <c r="F98" i="33"/>
  <c r="M12" i="6"/>
  <c r="F30" i="33" l="1"/>
  <c r="G98" i="33" l="1"/>
  <c r="F139" i="33"/>
  <c r="G31" i="33" l="1"/>
  <c r="F241" i="33" l="1"/>
  <c r="F250" i="21" l="1"/>
  <c r="F251" i="21"/>
  <c r="F252" i="21"/>
  <c r="F253" i="21"/>
  <c r="J206" i="8" l="1"/>
  <c r="K206" i="8"/>
  <c r="E253" i="22" l="1"/>
  <c r="F207" i="33" l="1"/>
  <c r="F175" i="33"/>
  <c r="F223" i="33"/>
  <c r="G13" i="33" l="1"/>
  <c r="G38" i="33" l="1"/>
  <c r="AQ38" i="33" s="1"/>
  <c r="F178" i="33"/>
  <c r="G40" i="33" l="1"/>
  <c r="F183" i="33"/>
  <c r="G41" i="33"/>
  <c r="F182" i="33"/>
  <c r="F185" i="33"/>
  <c r="G43" i="33"/>
  <c r="F180" i="33"/>
  <c r="G39" i="33"/>
  <c r="AQ267" i="33"/>
  <c r="AQ13" i="33" l="1"/>
  <c r="G12" i="33"/>
  <c r="G81" i="33" l="1"/>
  <c r="G35" i="33" l="1"/>
  <c r="M122" i="7" l="1"/>
  <c r="F221" i="33"/>
  <c r="F194" i="33"/>
  <c r="F225" i="33"/>
  <c r="F174" i="33"/>
  <c r="G51" i="33" l="1"/>
  <c r="G48" i="33"/>
  <c r="F266" i="33"/>
  <c r="F209" i="33"/>
  <c r="F208" i="33"/>
  <c r="F232" i="33"/>
  <c r="F222" i="33"/>
  <c r="F197" i="33"/>
  <c r="F186" i="33"/>
  <c r="G97" i="33" l="1"/>
  <c r="G52" i="33"/>
  <c r="F193" i="33"/>
  <c r="F191" i="33"/>
  <c r="G49" i="33"/>
  <c r="F190" i="33"/>
  <c r="F187" i="33"/>
  <c r="G47" i="33"/>
  <c r="L276" i="8" l="1"/>
  <c r="L269" i="8"/>
  <c r="L268" i="8"/>
  <c r="L267" i="8"/>
  <c r="L266" i="8"/>
  <c r="L265" i="8"/>
  <c r="L261" i="8"/>
  <c r="L260" i="8"/>
  <c r="L259" i="8"/>
  <c r="L258" i="8"/>
  <c r="L236" i="8"/>
  <c r="L235" i="8"/>
  <c r="L226" i="8"/>
  <c r="L225" i="8"/>
  <c r="L224" i="8"/>
  <c r="L223" i="8"/>
  <c r="L222" i="8"/>
  <c r="L221" i="8"/>
  <c r="L220" i="8"/>
  <c r="L219" i="8"/>
  <c r="L218" i="8"/>
  <c r="L217" i="8"/>
  <c r="L216" i="8"/>
  <c r="L215" i="8"/>
  <c r="L214" i="8"/>
  <c r="L213" i="8"/>
  <c r="L212" i="8"/>
  <c r="L211" i="8"/>
  <c r="L204" i="8"/>
  <c r="L206" i="8" s="1"/>
  <c r="L197" i="8"/>
  <c r="L196" i="8"/>
  <c r="L195" i="8"/>
  <c r="L194" i="8"/>
  <c r="L193" i="8"/>
  <c r="L192" i="8"/>
  <c r="L191" i="8"/>
  <c r="L190" i="8"/>
  <c r="L189" i="8"/>
  <c r="L188" i="8"/>
  <c r="L187" i="8"/>
  <c r="L186" i="8"/>
  <c r="L185" i="8"/>
  <c r="L184" i="8"/>
  <c r="L181" i="8"/>
  <c r="L177" i="8"/>
  <c r="L176" i="8"/>
  <c r="L172" i="8"/>
  <c r="L171" i="8"/>
  <c r="L170" i="8"/>
  <c r="L169" i="8"/>
  <c r="L168" i="8"/>
  <c r="L167" i="8"/>
  <c r="L166" i="8"/>
  <c r="L165" i="8"/>
  <c r="L164" i="8"/>
  <c r="L163" i="8"/>
  <c r="L162" i="8"/>
  <c r="L161" i="8"/>
  <c r="L157" i="8"/>
  <c r="L156" i="8"/>
  <c r="L155" i="8"/>
  <c r="L151" i="8"/>
  <c r="L150" i="8"/>
  <c r="L149" i="8"/>
  <c r="L148" i="8"/>
  <c r="L144" i="8"/>
  <c r="L140" i="8"/>
  <c r="L139" i="8"/>
  <c r="L135" i="8"/>
  <c r="L134" i="8"/>
  <c r="L133" i="8"/>
  <c r="L132" i="8"/>
  <c r="L131" i="8"/>
  <c r="L127" i="8"/>
  <c r="L126" i="8"/>
  <c r="L122" i="8"/>
  <c r="L121" i="8"/>
  <c r="L120" i="8"/>
  <c r="L119" i="8"/>
  <c r="L118" i="8"/>
  <c r="L117" i="8"/>
  <c r="L116" i="8"/>
  <c r="L115" i="8"/>
  <c r="L114" i="8"/>
  <c r="L113" i="8"/>
  <c r="L112" i="8"/>
  <c r="L111" i="8"/>
  <c r="L110" i="8"/>
  <c r="L109" i="8"/>
  <c r="L108" i="8"/>
  <c r="L107" i="8"/>
  <c r="L106" i="8"/>
  <c r="L105" i="8"/>
  <c r="L101" i="8"/>
  <c r="L100" i="8"/>
  <c r="L96" i="8"/>
  <c r="L89" i="8"/>
  <c r="L88" i="8"/>
  <c r="L87" i="8"/>
  <c r="L86" i="8"/>
  <c r="L85" i="8"/>
  <c r="L84" i="8"/>
  <c r="L83" i="8"/>
  <c r="L82" i="8"/>
  <c r="L81" i="8"/>
  <c r="L80" i="8"/>
  <c r="L79" i="8"/>
  <c r="L74" i="8"/>
  <c r="L71" i="8"/>
  <c r="L67" i="8"/>
  <c r="L66" i="8"/>
  <c r="L62" i="8"/>
  <c r="L61" i="8"/>
  <c r="L60" i="8"/>
  <c r="L59" i="8"/>
  <c r="L58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37" i="8"/>
  <c r="L36" i="8"/>
  <c r="L28" i="8"/>
  <c r="L27" i="8"/>
  <c r="L26" i="8"/>
  <c r="L22" i="8"/>
  <c r="L21" i="8"/>
  <c r="L17" i="8"/>
  <c r="L16" i="8"/>
  <c r="L15" i="8"/>
  <c r="L14" i="8"/>
  <c r="L13" i="8"/>
  <c r="M26" i="7"/>
  <c r="M23" i="7"/>
  <c r="J178" i="7"/>
  <c r="J173" i="7"/>
  <c r="K166" i="7"/>
  <c r="L166" i="7"/>
  <c r="J165" i="7"/>
  <c r="J160" i="7"/>
  <c r="J156" i="7"/>
  <c r="J151" i="7"/>
  <c r="J146" i="7"/>
  <c r="J143" i="7"/>
  <c r="J140" i="7"/>
  <c r="J137" i="7"/>
  <c r="J134" i="7"/>
  <c r="J131" i="7"/>
  <c r="J128" i="7"/>
  <c r="J125" i="7"/>
  <c r="J117" i="7"/>
  <c r="J114" i="7"/>
  <c r="J109" i="7"/>
  <c r="J219" i="7"/>
  <c r="J218" i="7"/>
  <c r="J217" i="7"/>
  <c r="J208" i="7"/>
  <c r="J164" i="7"/>
  <c r="J159" i="7"/>
  <c r="J225" i="7"/>
  <c r="J213" i="7"/>
  <c r="J212" i="7"/>
  <c r="J211" i="7"/>
  <c r="J210" i="7"/>
  <c r="J209" i="7"/>
  <c r="J207" i="7"/>
  <c r="J206" i="7"/>
  <c r="J205" i="7"/>
  <c r="J204" i="7"/>
  <c r="J203" i="7"/>
  <c r="J202" i="7"/>
  <c r="J201" i="7"/>
  <c r="J200" i="7"/>
  <c r="J197" i="7"/>
  <c r="J193" i="7"/>
  <c r="J177" i="7"/>
  <c r="J172" i="7"/>
  <c r="J169" i="7"/>
  <c r="J155" i="7"/>
  <c r="J150" i="7"/>
  <c r="J145" i="7"/>
  <c r="J142" i="7"/>
  <c r="J139" i="7"/>
  <c r="J136" i="7"/>
  <c r="J133" i="7"/>
  <c r="J130" i="7"/>
  <c r="J127" i="7"/>
  <c r="J124" i="7"/>
  <c r="J121" i="7"/>
  <c r="J116" i="7"/>
  <c r="J113" i="7"/>
  <c r="J108" i="7"/>
  <c r="J105" i="7"/>
  <c r="J101" i="7"/>
  <c r="J95" i="7"/>
  <c r="J92" i="7"/>
  <c r="J91" i="7"/>
  <c r="J90" i="7"/>
  <c r="J89" i="7"/>
  <c r="J88" i="7"/>
  <c r="J85" i="7"/>
  <c r="J84" i="7"/>
  <c r="J83" i="7"/>
  <c r="J78" i="7"/>
  <c r="J75" i="7"/>
  <c r="J74" i="7"/>
  <c r="J73" i="7"/>
  <c r="J72" i="7"/>
  <c r="J71" i="7"/>
  <c r="J70" i="7"/>
  <c r="J69" i="7"/>
  <c r="J68" i="7"/>
  <c r="J65" i="7"/>
  <c r="J64" i="7"/>
  <c r="J63" i="7"/>
  <c r="J62" i="7"/>
  <c r="J61" i="7"/>
  <c r="J60" i="7"/>
  <c r="J59" i="7"/>
  <c r="J56" i="7"/>
  <c r="J55" i="7"/>
  <c r="J54" i="7"/>
  <c r="J49" i="7"/>
  <c r="J48" i="7"/>
  <c r="J47" i="7"/>
  <c r="J44" i="7"/>
  <c r="J41" i="7"/>
  <c r="J40" i="7"/>
  <c r="J39" i="7"/>
  <c r="J29" i="7"/>
  <c r="J28" i="7"/>
  <c r="J25" i="7"/>
  <c r="J24" i="7"/>
  <c r="J19" i="7"/>
  <c r="J15" i="7"/>
  <c r="J14" i="7"/>
  <c r="J166" i="7" l="1"/>
  <c r="D120" i="34"/>
  <c r="D119" i="34"/>
  <c r="D116" i="34"/>
  <c r="D117" i="34"/>
  <c r="D118" i="34"/>
  <c r="D96" i="34"/>
  <c r="E97" i="34"/>
  <c r="D98" i="34"/>
  <c r="D99" i="34"/>
  <c r="D100" i="34"/>
  <c r="D101" i="34"/>
  <c r="D102" i="34"/>
  <c r="D103" i="34"/>
  <c r="D104" i="34"/>
  <c r="D105" i="34"/>
  <c r="D106" i="34"/>
  <c r="D107" i="34"/>
  <c r="D108" i="34"/>
  <c r="D109" i="34"/>
  <c r="D110" i="34"/>
  <c r="D111" i="34"/>
  <c r="D112" i="34"/>
  <c r="D113" i="34"/>
  <c r="D114" i="34"/>
  <c r="D115" i="34"/>
  <c r="E78" i="34"/>
  <c r="D82" i="34"/>
  <c r="D84" i="34"/>
  <c r="D85" i="34"/>
  <c r="D86" i="34"/>
  <c r="D87" i="34"/>
  <c r="D88" i="34"/>
  <c r="D95" i="34"/>
  <c r="E60" i="34"/>
  <c r="E62" i="34"/>
  <c r="E64" i="34"/>
  <c r="E65" i="34"/>
  <c r="E70" i="34"/>
  <c r="E72" i="34"/>
  <c r="E73" i="34"/>
  <c r="E74" i="34"/>
  <c r="E76" i="34"/>
  <c r="E44" i="34"/>
  <c r="E45" i="34"/>
  <c r="E46" i="34"/>
  <c r="E47" i="34"/>
  <c r="E48" i="34"/>
  <c r="E49" i="34"/>
  <c r="E50" i="34"/>
  <c r="E51" i="34"/>
  <c r="E52" i="34"/>
  <c r="E53" i="34"/>
  <c r="E54" i="34"/>
  <c r="E56" i="34"/>
  <c r="E58" i="34"/>
  <c r="E30" i="34"/>
  <c r="E31" i="34"/>
  <c r="E32" i="34"/>
  <c r="E33" i="34"/>
  <c r="E34" i="34"/>
  <c r="E35" i="34"/>
  <c r="E36" i="34"/>
  <c r="E37" i="34"/>
  <c r="E38" i="34"/>
  <c r="E39" i="34"/>
  <c r="E40" i="34"/>
  <c r="E41" i="34"/>
  <c r="E42" i="34"/>
  <c r="E43" i="34"/>
  <c r="E29" i="34"/>
  <c r="D28" i="34"/>
  <c r="E27" i="34"/>
  <c r="AB27" i="34" s="1"/>
  <c r="E26" i="34"/>
  <c r="E25" i="34"/>
  <c r="E24" i="34"/>
  <c r="E23" i="34"/>
  <c r="AB23" i="34" s="1"/>
  <c r="E11" i="34"/>
  <c r="E12" i="34"/>
  <c r="E14" i="34"/>
  <c r="E15" i="34"/>
  <c r="E16" i="34"/>
  <c r="E17" i="34"/>
  <c r="E18" i="34"/>
  <c r="E19" i="34"/>
  <c r="E20" i="34"/>
  <c r="E21" i="34"/>
  <c r="E22" i="34"/>
  <c r="E10" i="34"/>
  <c r="D10" i="34"/>
  <c r="M14" i="7" s="1"/>
  <c r="M27" i="7" l="1"/>
  <c r="AB28" i="34"/>
  <c r="G270" i="34"/>
  <c r="S269" i="34"/>
  <c r="S270" i="34" s="1"/>
  <c r="R269" i="34"/>
  <c r="R270" i="34" s="1"/>
  <c r="Q269" i="34"/>
  <c r="Q270" i="34" s="1"/>
  <c r="P269" i="34"/>
  <c r="P270" i="34" s="1"/>
  <c r="O269" i="34"/>
  <c r="O270" i="34" s="1"/>
  <c r="N269" i="34"/>
  <c r="N270" i="34" s="1"/>
  <c r="M269" i="34"/>
  <c r="M270" i="34" s="1"/>
  <c r="L269" i="34"/>
  <c r="L270" i="34" s="1"/>
  <c r="K269" i="34"/>
  <c r="K270" i="34" s="1"/>
  <c r="H269" i="34"/>
  <c r="H270" i="34" s="1"/>
  <c r="G269" i="34"/>
  <c r="T268" i="34"/>
  <c r="T267" i="34"/>
  <c r="T266" i="34"/>
  <c r="T248" i="34"/>
  <c r="T247" i="34"/>
  <c r="T246" i="34"/>
  <c r="T245" i="34"/>
  <c r="T244" i="34"/>
  <c r="T243" i="34"/>
  <c r="T242" i="34"/>
  <c r="T241" i="34"/>
  <c r="T240" i="34"/>
  <c r="T239" i="34"/>
  <c r="T238" i="34"/>
  <c r="T237" i="34"/>
  <c r="T236" i="34"/>
  <c r="T235" i="34"/>
  <c r="T234" i="34"/>
  <c r="T233" i="34"/>
  <c r="T232" i="34"/>
  <c r="T231" i="34"/>
  <c r="T230" i="34"/>
  <c r="T229" i="34"/>
  <c r="T228" i="34"/>
  <c r="T227" i="34"/>
  <c r="T226" i="34"/>
  <c r="T225" i="34"/>
  <c r="T224" i="34"/>
  <c r="T223" i="34"/>
  <c r="T222" i="34"/>
  <c r="T221" i="34"/>
  <c r="T220" i="34"/>
  <c r="T219" i="34"/>
  <c r="T218" i="34"/>
  <c r="T217" i="34"/>
  <c r="T216" i="34"/>
  <c r="T215" i="34"/>
  <c r="T214" i="34"/>
  <c r="T213" i="34"/>
  <c r="T212" i="34"/>
  <c r="T211" i="34"/>
  <c r="T210" i="34"/>
  <c r="T209" i="34"/>
  <c r="T208" i="34"/>
  <c r="T207" i="34"/>
  <c r="T206" i="34"/>
  <c r="T205" i="34"/>
  <c r="T204" i="34"/>
  <c r="T203" i="34"/>
  <c r="T202" i="34"/>
  <c r="T201" i="34"/>
  <c r="T200" i="34"/>
  <c r="T199" i="34"/>
  <c r="T198" i="34"/>
  <c r="T197" i="34"/>
  <c r="T196" i="34"/>
  <c r="T195" i="34"/>
  <c r="T194" i="34"/>
  <c r="T193" i="34"/>
  <c r="T192" i="34"/>
  <c r="T191" i="34"/>
  <c r="T190" i="34"/>
  <c r="T189" i="34"/>
  <c r="T188" i="34"/>
  <c r="T187" i="34"/>
  <c r="T186" i="34"/>
  <c r="T185" i="34"/>
  <c r="T184" i="34"/>
  <c r="T183" i="34"/>
  <c r="T181" i="34"/>
  <c r="T180" i="34"/>
  <c r="T179" i="34"/>
  <c r="T178" i="34"/>
  <c r="T177" i="34"/>
  <c r="T176" i="34"/>
  <c r="T175" i="34"/>
  <c r="T174" i="34"/>
  <c r="T173" i="34"/>
  <c r="T172" i="34"/>
  <c r="T171" i="34"/>
  <c r="T170" i="34"/>
  <c r="T169" i="34"/>
  <c r="T168" i="34"/>
  <c r="T167" i="34"/>
  <c r="T166" i="34"/>
  <c r="T165" i="34"/>
  <c r="T164" i="34"/>
  <c r="T163" i="34"/>
  <c r="T162" i="34"/>
  <c r="T161" i="34"/>
  <c r="T160" i="34"/>
  <c r="T159" i="34"/>
  <c r="T158" i="34"/>
  <c r="T157" i="34"/>
  <c r="T156" i="34"/>
  <c r="T155" i="34"/>
  <c r="T154" i="34"/>
  <c r="T153" i="34"/>
  <c r="T152" i="34"/>
  <c r="T151" i="34"/>
  <c r="T150" i="34"/>
  <c r="T149" i="34"/>
  <c r="T148" i="34"/>
  <c r="T147" i="34"/>
  <c r="T146" i="34"/>
  <c r="T145" i="34"/>
  <c r="T144" i="34"/>
  <c r="T143" i="34"/>
  <c r="T142" i="34"/>
  <c r="T141" i="34"/>
  <c r="T140" i="34"/>
  <c r="T139" i="34"/>
  <c r="T138" i="34"/>
  <c r="T137" i="34"/>
  <c r="T136" i="34"/>
  <c r="T135" i="34"/>
  <c r="T134" i="34"/>
  <c r="T133" i="34"/>
  <c r="T132" i="34"/>
  <c r="T131" i="34"/>
  <c r="T130" i="34"/>
  <c r="I130" i="34"/>
  <c r="I269" i="34" s="1"/>
  <c r="I270" i="34" s="1"/>
  <c r="G130" i="34"/>
  <c r="T129" i="34"/>
  <c r="G129" i="34"/>
  <c r="T128" i="34"/>
  <c r="G128" i="34"/>
  <c r="T127" i="34"/>
  <c r="T126" i="34"/>
  <c r="T125" i="34"/>
  <c r="T124" i="34"/>
  <c r="T123" i="34"/>
  <c r="T122" i="34"/>
  <c r="T121" i="34"/>
  <c r="X107" i="34"/>
  <c r="T27" i="34"/>
  <c r="AB10" i="34"/>
  <c r="A5" i="34"/>
  <c r="AK290" i="33"/>
  <c r="E285" i="33"/>
  <c r="D285" i="33"/>
  <c r="AF280" i="33"/>
  <c r="G280" i="33"/>
  <c r="F280" i="33"/>
  <c r="AO271" i="33"/>
  <c r="H271" i="33"/>
  <c r="N236" i="8" s="1"/>
  <c r="AO270" i="33"/>
  <c r="H270" i="33"/>
  <c r="AO269" i="33"/>
  <c r="H269" i="33"/>
  <c r="AO268" i="33"/>
  <c r="H268" i="33"/>
  <c r="AO267" i="33"/>
  <c r="H267" i="33"/>
  <c r="N235" i="8" s="1"/>
  <c r="AO266" i="33"/>
  <c r="AO265" i="33"/>
  <c r="H265" i="33"/>
  <c r="AO264" i="33"/>
  <c r="H264" i="33"/>
  <c r="AO263" i="33"/>
  <c r="AF263" i="33"/>
  <c r="AO262" i="33"/>
  <c r="H262" i="33"/>
  <c r="K263" i="33"/>
  <c r="AO261" i="33"/>
  <c r="AO260" i="33"/>
  <c r="AF260" i="33"/>
  <c r="AO259" i="33"/>
  <c r="Y259" i="33"/>
  <c r="H259" i="33"/>
  <c r="J259" i="33"/>
  <c r="AO258" i="33"/>
  <c r="AO257" i="33"/>
  <c r="Y257" i="33"/>
  <c r="AO256" i="33"/>
  <c r="J256" i="33"/>
  <c r="AO255" i="33"/>
  <c r="J255" i="33"/>
  <c r="H255" i="33"/>
  <c r="K255" i="33"/>
  <c r="AO254" i="33"/>
  <c r="F253" i="33"/>
  <c r="K253" i="33"/>
  <c r="AO252" i="33"/>
  <c r="Y252" i="33"/>
  <c r="H251" i="33"/>
  <c r="AO250" i="33"/>
  <c r="Y250" i="33"/>
  <c r="AO249" i="33"/>
  <c r="AO248" i="33"/>
  <c r="Y248" i="33"/>
  <c r="G247" i="33"/>
  <c r="Y247" i="33"/>
  <c r="F246" i="33"/>
  <c r="AO246" i="33" s="1"/>
  <c r="AF246" i="33"/>
  <c r="AO245" i="33"/>
  <c r="Y245" i="33"/>
  <c r="AO244" i="33"/>
  <c r="AF244" i="33"/>
  <c r="AO243" i="33"/>
  <c r="AO242" i="33"/>
  <c r="J242" i="33"/>
  <c r="AF242" i="33"/>
  <c r="Y241" i="33"/>
  <c r="AO240" i="33"/>
  <c r="Y240" i="33"/>
  <c r="K240" i="33"/>
  <c r="AO239" i="33"/>
  <c r="Y239" i="33"/>
  <c r="AO238" i="33"/>
  <c r="AF238" i="33"/>
  <c r="K238" i="33"/>
  <c r="AO237" i="33"/>
  <c r="H237" i="33"/>
  <c r="J237" i="33"/>
  <c r="AO236" i="33"/>
  <c r="AO235" i="33"/>
  <c r="AF235" i="33"/>
  <c r="J235" i="33"/>
  <c r="Y235" i="33"/>
  <c r="AO234" i="33"/>
  <c r="AO233" i="33"/>
  <c r="H233" i="33"/>
  <c r="AF233" i="33"/>
  <c r="AO232" i="33"/>
  <c r="Y232" i="33"/>
  <c r="AO231" i="33"/>
  <c r="AO230" i="33"/>
  <c r="AF230" i="33"/>
  <c r="Y230" i="33"/>
  <c r="AO229" i="33"/>
  <c r="H228" i="33"/>
  <c r="AO227" i="33"/>
  <c r="AF227" i="33"/>
  <c r="AO226" i="33"/>
  <c r="AC226" i="33"/>
  <c r="AO225" i="33"/>
  <c r="AF225" i="33"/>
  <c r="AO224" i="33"/>
  <c r="H224" i="33"/>
  <c r="AO223" i="33"/>
  <c r="AO222" i="33"/>
  <c r="AF222" i="33"/>
  <c r="Y222" i="33"/>
  <c r="AO221" i="33"/>
  <c r="Y221" i="33"/>
  <c r="J221" i="33"/>
  <c r="AO220" i="33"/>
  <c r="Y220" i="33"/>
  <c r="AO219" i="33"/>
  <c r="Y219" i="33"/>
  <c r="H219" i="33"/>
  <c r="K219" i="33"/>
  <c r="AO218" i="33"/>
  <c r="Y218" i="33"/>
  <c r="H218" i="33"/>
  <c r="AO217" i="33"/>
  <c r="AF217" i="33"/>
  <c r="AO216" i="33"/>
  <c r="H216" i="33"/>
  <c r="AO215" i="33"/>
  <c r="J215" i="33"/>
  <c r="AO214" i="33"/>
  <c r="Y214" i="33"/>
  <c r="U214" i="33"/>
  <c r="J214" i="33"/>
  <c r="AO213" i="33"/>
  <c r="AF213" i="33"/>
  <c r="AO212" i="33"/>
  <c r="Y212" i="33"/>
  <c r="AO211" i="33"/>
  <c r="AF211" i="33"/>
  <c r="AO210" i="33"/>
  <c r="Y210" i="33"/>
  <c r="AO209" i="33"/>
  <c r="AF209" i="33"/>
  <c r="Y208" i="33"/>
  <c r="AO208" i="33"/>
  <c r="AO207" i="33"/>
  <c r="Y207" i="33"/>
  <c r="AF207" i="33"/>
  <c r="H207" i="33"/>
  <c r="AO206" i="33"/>
  <c r="AO205" i="33"/>
  <c r="AF205" i="33"/>
  <c r="AO204" i="33"/>
  <c r="AF204" i="33"/>
  <c r="Y204" i="33"/>
  <c r="AO203" i="33"/>
  <c r="Y203" i="33"/>
  <c r="H203" i="33"/>
  <c r="AO202" i="33"/>
  <c r="Y202" i="33"/>
  <c r="H202" i="33"/>
  <c r="AO201" i="33"/>
  <c r="AF201" i="33"/>
  <c r="AO200" i="33"/>
  <c r="Y200" i="33"/>
  <c r="Y199" i="33"/>
  <c r="F199" i="33"/>
  <c r="AO199" i="33" s="1"/>
  <c r="AO198" i="33"/>
  <c r="AO197" i="33"/>
  <c r="K197" i="33"/>
  <c r="F196" i="33"/>
  <c r="AO196" i="33" s="1"/>
  <c r="AF196" i="33"/>
  <c r="Y196" i="33"/>
  <c r="Y195" i="33"/>
  <c r="F195" i="33"/>
  <c r="H195" i="33" s="1"/>
  <c r="J194" i="33"/>
  <c r="G194" i="33"/>
  <c r="AF194" i="33"/>
  <c r="G193" i="33"/>
  <c r="AO193" i="33" s="1"/>
  <c r="AO192" i="33"/>
  <c r="H191" i="33"/>
  <c r="AO190" i="33"/>
  <c r="K190" i="33"/>
  <c r="AO189" i="33"/>
  <c r="AO188" i="33"/>
  <c r="Y188" i="33"/>
  <c r="K188" i="33"/>
  <c r="AO187" i="33"/>
  <c r="AF187" i="33"/>
  <c r="Y186" i="33"/>
  <c r="AO186" i="33"/>
  <c r="K186" i="33"/>
  <c r="G185" i="33"/>
  <c r="F184" i="33"/>
  <c r="AO184" i="33" s="1"/>
  <c r="AF184" i="33"/>
  <c r="G183" i="33"/>
  <c r="G182" i="33"/>
  <c r="AF182" i="33"/>
  <c r="AO181" i="33"/>
  <c r="G180" i="33"/>
  <c r="AO179" i="33"/>
  <c r="J179" i="33"/>
  <c r="H179" i="33"/>
  <c r="K179" i="33"/>
  <c r="AO178" i="33"/>
  <c r="AO177" i="33"/>
  <c r="AO176" i="33"/>
  <c r="AO175" i="33"/>
  <c r="AO174" i="33"/>
  <c r="AO173" i="33"/>
  <c r="Y173" i="33"/>
  <c r="AO172" i="33"/>
  <c r="AO171" i="33"/>
  <c r="AO170" i="33"/>
  <c r="AO169" i="33"/>
  <c r="AO168" i="33"/>
  <c r="AO167" i="33"/>
  <c r="AO166" i="33"/>
  <c r="AO165" i="33"/>
  <c r="Y165" i="33"/>
  <c r="AO164" i="33"/>
  <c r="AO163" i="33"/>
  <c r="AF163" i="33"/>
  <c r="Y163" i="33"/>
  <c r="AO162" i="33"/>
  <c r="AO161" i="33"/>
  <c r="Y161" i="33"/>
  <c r="AO160" i="33"/>
  <c r="AO159" i="33"/>
  <c r="Y159" i="33"/>
  <c r="AO158" i="33"/>
  <c r="AO157" i="33"/>
  <c r="AF157" i="33"/>
  <c r="AO156" i="33"/>
  <c r="AO155" i="33"/>
  <c r="AF155" i="33"/>
  <c r="AO154" i="33"/>
  <c r="AO153" i="33"/>
  <c r="AF153" i="33"/>
  <c r="AO152" i="33"/>
  <c r="AO151" i="33"/>
  <c r="AO150" i="33"/>
  <c r="AO149" i="33"/>
  <c r="AO148" i="33"/>
  <c r="AO147" i="33"/>
  <c r="AO146" i="33"/>
  <c r="H146" i="33"/>
  <c r="AO145" i="33"/>
  <c r="AF145" i="33"/>
  <c r="AO144" i="33"/>
  <c r="AO143" i="33"/>
  <c r="AO142" i="33"/>
  <c r="AO141" i="33"/>
  <c r="AO140" i="33"/>
  <c r="AO139" i="33"/>
  <c r="AO138" i="33"/>
  <c r="J138" i="33"/>
  <c r="AO137" i="33"/>
  <c r="I137" i="33"/>
  <c r="AO136" i="33"/>
  <c r="I136" i="33"/>
  <c r="J136" i="33"/>
  <c r="AO135" i="33"/>
  <c r="I135" i="33"/>
  <c r="AO134" i="33"/>
  <c r="I134" i="33"/>
  <c r="AO133" i="33"/>
  <c r="I133" i="33"/>
  <c r="AO132" i="33"/>
  <c r="I132" i="33"/>
  <c r="AO131" i="33"/>
  <c r="I131" i="33"/>
  <c r="AO130" i="33"/>
  <c r="I130" i="33"/>
  <c r="AO129" i="33"/>
  <c r="S129" i="33"/>
  <c r="I129" i="33"/>
  <c r="Y129" i="33"/>
  <c r="AO128" i="33"/>
  <c r="I128" i="33"/>
  <c r="AO127" i="33"/>
  <c r="I127" i="33"/>
  <c r="AO126" i="33"/>
  <c r="AO125" i="33"/>
  <c r="I125" i="33"/>
  <c r="AO124" i="33"/>
  <c r="I124" i="33"/>
  <c r="AO123" i="33"/>
  <c r="I123" i="33"/>
  <c r="AO122" i="33"/>
  <c r="I122" i="33"/>
  <c r="AO121" i="33"/>
  <c r="I121" i="33"/>
  <c r="AF121" i="33"/>
  <c r="AO120" i="33"/>
  <c r="AO119" i="33"/>
  <c r="I119" i="33"/>
  <c r="AO118" i="33"/>
  <c r="AC260" i="33"/>
  <c r="AO117" i="33"/>
  <c r="I117" i="33"/>
  <c r="AO116" i="33"/>
  <c r="I116" i="33"/>
  <c r="AO115" i="33"/>
  <c r="I115" i="33"/>
  <c r="J115" i="33"/>
  <c r="AO114" i="33"/>
  <c r="I114" i="33"/>
  <c r="J114" i="33"/>
  <c r="AO113" i="33"/>
  <c r="I113" i="33"/>
  <c r="AO112" i="33"/>
  <c r="I112" i="33"/>
  <c r="J112" i="33"/>
  <c r="AO111" i="33"/>
  <c r="I111" i="33"/>
  <c r="J111" i="33"/>
  <c r="AO110" i="33"/>
  <c r="I110" i="33"/>
  <c r="AO109" i="33"/>
  <c r="I109" i="33"/>
  <c r="AO108" i="33"/>
  <c r="U129" i="33"/>
  <c r="AO107" i="33"/>
  <c r="AC107" i="33"/>
  <c r="I107" i="33"/>
  <c r="AO106" i="33"/>
  <c r="I106" i="33"/>
  <c r="AO105" i="33"/>
  <c r="I105" i="33"/>
  <c r="AO104" i="33"/>
  <c r="I104" i="33"/>
  <c r="K125" i="33"/>
  <c r="AO103" i="33"/>
  <c r="I103" i="33"/>
  <c r="AO102" i="33"/>
  <c r="I102" i="33"/>
  <c r="K120" i="33"/>
  <c r="AO101" i="33"/>
  <c r="I101" i="33"/>
  <c r="AO100" i="33"/>
  <c r="I100" i="33"/>
  <c r="AO99" i="33"/>
  <c r="I99" i="33"/>
  <c r="J99" i="33"/>
  <c r="AO97" i="33"/>
  <c r="J97" i="33"/>
  <c r="AO96" i="33"/>
  <c r="I96" i="33"/>
  <c r="AO95" i="33"/>
  <c r="I95" i="33"/>
  <c r="Y95" i="33"/>
  <c r="AO94" i="33"/>
  <c r="H94" i="33"/>
  <c r="I94" i="33"/>
  <c r="AO93" i="33"/>
  <c r="Y93" i="33"/>
  <c r="I93" i="33"/>
  <c r="H93" i="33"/>
  <c r="AO92" i="33"/>
  <c r="I92" i="33"/>
  <c r="AO91" i="33"/>
  <c r="I91" i="33"/>
  <c r="AF91" i="33"/>
  <c r="AO90" i="33"/>
  <c r="I90" i="33"/>
  <c r="AF90" i="33"/>
  <c r="AO89" i="33"/>
  <c r="J89" i="33"/>
  <c r="Y89" i="33"/>
  <c r="AO88" i="33"/>
  <c r="I88" i="33"/>
  <c r="Y88" i="33"/>
  <c r="AO87" i="33"/>
  <c r="I87" i="33"/>
  <c r="AO86" i="33"/>
  <c r="I86" i="33"/>
  <c r="AO85" i="33"/>
  <c r="I85" i="33"/>
  <c r="AO84" i="33"/>
  <c r="I84" i="33"/>
  <c r="AF84" i="33"/>
  <c r="AO83" i="33"/>
  <c r="I83" i="33"/>
  <c r="G82" i="33"/>
  <c r="AO82" i="33" s="1"/>
  <c r="AO81" i="33"/>
  <c r="I81" i="33"/>
  <c r="AO80" i="33"/>
  <c r="H80" i="33"/>
  <c r="I80" i="33"/>
  <c r="Y80" i="33"/>
  <c r="AO79" i="33"/>
  <c r="I79" i="33"/>
  <c r="G78" i="33"/>
  <c r="AO78" i="33" s="1"/>
  <c r="AF78" i="33"/>
  <c r="AO77" i="33"/>
  <c r="I77" i="33"/>
  <c r="AO76" i="33"/>
  <c r="H76" i="33"/>
  <c r="AO75" i="33"/>
  <c r="I75" i="33"/>
  <c r="Z76" i="33"/>
  <c r="AO74" i="33"/>
  <c r="AF74" i="33"/>
  <c r="AO73" i="33"/>
  <c r="J73" i="33"/>
  <c r="AO72" i="33"/>
  <c r="H72" i="33"/>
  <c r="AO71" i="33"/>
  <c r="I71" i="33"/>
  <c r="H71" i="33"/>
  <c r="AO70" i="33"/>
  <c r="Z70" i="33"/>
  <c r="H70" i="33"/>
  <c r="AO69" i="33"/>
  <c r="I69" i="33"/>
  <c r="H69" i="33"/>
  <c r="AO68" i="33"/>
  <c r="I68" i="33"/>
  <c r="H68" i="33"/>
  <c r="AO67" i="33"/>
  <c r="I67" i="33"/>
  <c r="AO66" i="33"/>
  <c r="I66" i="33"/>
  <c r="H66" i="33"/>
  <c r="AO65" i="33"/>
  <c r="Y65" i="33"/>
  <c r="AO64" i="33"/>
  <c r="AF64" i="33"/>
  <c r="AO63" i="33"/>
  <c r="I63" i="33"/>
  <c r="K106" i="33"/>
  <c r="AO62" i="33"/>
  <c r="Y62" i="33"/>
  <c r="AO61" i="33"/>
  <c r="I61" i="33"/>
  <c r="AF61" i="33"/>
  <c r="AO60" i="33"/>
  <c r="H60" i="33"/>
  <c r="AO59" i="33"/>
  <c r="K59" i="33"/>
  <c r="I59" i="33"/>
  <c r="Z60" i="33"/>
  <c r="AO58" i="33"/>
  <c r="H58" i="33"/>
  <c r="AF58" i="33"/>
  <c r="Y58" i="33"/>
  <c r="AO57" i="33"/>
  <c r="I57" i="33"/>
  <c r="H57" i="33"/>
  <c r="AO56" i="33"/>
  <c r="J56" i="33"/>
  <c r="I55" i="33"/>
  <c r="H55" i="33"/>
  <c r="AO54" i="33"/>
  <c r="M54" i="33"/>
  <c r="I54" i="33"/>
  <c r="AO53" i="33"/>
  <c r="AO52" i="33"/>
  <c r="F51" i="33"/>
  <c r="AO50" i="33"/>
  <c r="J50" i="33"/>
  <c r="AO49" i="33"/>
  <c r="H49" i="33"/>
  <c r="AO48" i="33"/>
  <c r="AO47" i="33"/>
  <c r="AO46" i="33"/>
  <c r="AF46" i="33"/>
  <c r="AO45" i="33"/>
  <c r="AO44" i="33"/>
  <c r="U44" i="33"/>
  <c r="N44" i="33"/>
  <c r="Y44" i="33"/>
  <c r="AO43" i="33"/>
  <c r="AO42" i="33"/>
  <c r="K41" i="33"/>
  <c r="AO41" i="33"/>
  <c r="AO40" i="33"/>
  <c r="AO39" i="33"/>
  <c r="AF39" i="33"/>
  <c r="AO38" i="33"/>
  <c r="Y38" i="33"/>
  <c r="AO37" i="33"/>
  <c r="J36" i="33"/>
  <c r="AO36" i="33"/>
  <c r="Y36" i="33"/>
  <c r="Y35" i="33"/>
  <c r="AO35" i="33"/>
  <c r="AF35" i="33"/>
  <c r="AO34" i="33"/>
  <c r="H34" i="33"/>
  <c r="AO33" i="33"/>
  <c r="AF33" i="33"/>
  <c r="AO32" i="33"/>
  <c r="J32" i="33"/>
  <c r="AO31" i="33"/>
  <c r="J31" i="33"/>
  <c r="AO30" i="33"/>
  <c r="AF30" i="33"/>
  <c r="AO29" i="33"/>
  <c r="H29" i="33"/>
  <c r="AO28" i="33"/>
  <c r="AO27" i="33"/>
  <c r="Y27" i="33"/>
  <c r="AO26" i="33"/>
  <c r="H26" i="33"/>
  <c r="AO25" i="33"/>
  <c r="AO24" i="33"/>
  <c r="H24" i="33"/>
  <c r="AO23" i="33"/>
  <c r="AF23" i="33"/>
  <c r="H23" i="33"/>
  <c r="AO22" i="33"/>
  <c r="AF22" i="33"/>
  <c r="Y22" i="33"/>
  <c r="AO21" i="33"/>
  <c r="Y21" i="33"/>
  <c r="AO20" i="33"/>
  <c r="H20" i="33"/>
  <c r="AO19" i="33"/>
  <c r="H19" i="33"/>
  <c r="AF19" i="33"/>
  <c r="AO18" i="33"/>
  <c r="Y18" i="33"/>
  <c r="AO17" i="33"/>
  <c r="H17" i="33"/>
  <c r="AO16" i="33"/>
  <c r="Y16" i="33"/>
  <c r="AO15" i="33"/>
  <c r="Y15" i="33"/>
  <c r="AO14" i="33"/>
  <c r="J14" i="33"/>
  <c r="Y13" i="33"/>
  <c r="AO13" i="33"/>
  <c r="U54" i="33"/>
  <c r="AO12" i="33"/>
  <c r="Y12" i="33"/>
  <c r="AO11" i="33"/>
  <c r="H11" i="33"/>
  <c r="AO10" i="33"/>
  <c r="A5" i="33"/>
  <c r="P228" i="8"/>
  <c r="Q228" i="8"/>
  <c r="Q249" i="8" s="1"/>
  <c r="S228" i="8"/>
  <c r="S249" i="8" s="1"/>
  <c r="T228" i="8"/>
  <c r="T249" i="8" s="1"/>
  <c r="U228" i="8"/>
  <c r="L277" i="8"/>
  <c r="J237" i="8"/>
  <c r="K237" i="8"/>
  <c r="L145" i="8"/>
  <c r="L128" i="8"/>
  <c r="L97" i="8"/>
  <c r="J277" i="8"/>
  <c r="K277" i="8"/>
  <c r="J270" i="8"/>
  <c r="K270" i="8"/>
  <c r="J262" i="8"/>
  <c r="K262" i="8"/>
  <c r="J228" i="8"/>
  <c r="J249" i="8" s="1"/>
  <c r="K228" i="8"/>
  <c r="K249" i="8" s="1"/>
  <c r="J198" i="8"/>
  <c r="K198" i="8"/>
  <c r="J178" i="8"/>
  <c r="K178" i="8"/>
  <c r="J173" i="8"/>
  <c r="K173" i="8"/>
  <c r="J158" i="8"/>
  <c r="K158" i="8"/>
  <c r="J152" i="8"/>
  <c r="K152" i="8"/>
  <c r="J145" i="8"/>
  <c r="K145" i="8"/>
  <c r="J141" i="8"/>
  <c r="K141" i="8"/>
  <c r="J136" i="8"/>
  <c r="K136" i="8"/>
  <c r="J128" i="8"/>
  <c r="K128" i="8"/>
  <c r="J123" i="8"/>
  <c r="K123" i="8"/>
  <c r="J102" i="8"/>
  <c r="K102" i="8"/>
  <c r="J97" i="8"/>
  <c r="K97" i="8"/>
  <c r="J90" i="8"/>
  <c r="K90" i="8"/>
  <c r="J63" i="8"/>
  <c r="K63" i="8"/>
  <c r="M63" i="8"/>
  <c r="J55" i="8"/>
  <c r="K55" i="8"/>
  <c r="J38" i="8"/>
  <c r="K38" i="8"/>
  <c r="J23" i="8"/>
  <c r="K23" i="8"/>
  <c r="J18" i="8"/>
  <c r="K18" i="8"/>
  <c r="K214" i="7"/>
  <c r="L110" i="7"/>
  <c r="L236" i="7"/>
  <c r="J215" i="7"/>
  <c r="K215" i="7"/>
  <c r="L176" i="7"/>
  <c r="L152" i="7"/>
  <c r="K123" i="7"/>
  <c r="L123" i="7"/>
  <c r="L120" i="7" s="1"/>
  <c r="L103" i="7" s="1"/>
  <c r="L118" i="7"/>
  <c r="L115" i="7"/>
  <c r="L94" i="7"/>
  <c r="L82" i="7"/>
  <c r="L58" i="7"/>
  <c r="L53" i="7"/>
  <c r="K43" i="7"/>
  <c r="L38" i="7"/>
  <c r="L22" i="7"/>
  <c r="M21" i="6"/>
  <c r="M20" i="6"/>
  <c r="M19" i="6"/>
  <c r="M14" i="6"/>
  <c r="M13" i="6"/>
  <c r="D58" i="34" l="1"/>
  <c r="T58" i="34" s="1"/>
  <c r="E104" i="34"/>
  <c r="E111" i="34"/>
  <c r="E117" i="34"/>
  <c r="E59" i="34"/>
  <c r="E71" i="34"/>
  <c r="E105" i="34"/>
  <c r="T105" i="34" s="1"/>
  <c r="N260" i="8"/>
  <c r="M260" i="8" s="1"/>
  <c r="N26" i="8"/>
  <c r="M26" i="8" s="1"/>
  <c r="N169" i="8"/>
  <c r="N223" i="8"/>
  <c r="M223" i="8" s="1"/>
  <c r="D35" i="34"/>
  <c r="D20" i="34"/>
  <c r="AB20" i="34" s="1"/>
  <c r="E55" i="34"/>
  <c r="D66" i="34"/>
  <c r="E79" i="34"/>
  <c r="E86" i="34"/>
  <c r="E92" i="34"/>
  <c r="M143" i="7" s="1"/>
  <c r="E112" i="34"/>
  <c r="E119" i="34"/>
  <c r="N258" i="8"/>
  <c r="D71" i="34"/>
  <c r="E66" i="34"/>
  <c r="D72" i="34"/>
  <c r="E99" i="34"/>
  <c r="T99" i="34" s="1"/>
  <c r="E106" i="34"/>
  <c r="N261" i="8"/>
  <c r="M261" i="8" s="1"/>
  <c r="N27" i="8"/>
  <c r="M27" i="8" s="1"/>
  <c r="N224" i="8"/>
  <c r="E77" i="34"/>
  <c r="D21" i="34"/>
  <c r="D60" i="34"/>
  <c r="E87" i="34"/>
  <c r="D93" i="34"/>
  <c r="E113" i="34"/>
  <c r="N48" i="8"/>
  <c r="N149" i="8"/>
  <c r="D13" i="34"/>
  <c r="E67" i="34"/>
  <c r="E80" i="34"/>
  <c r="M109" i="7" s="1"/>
  <c r="E93" i="34"/>
  <c r="M146" i="7" s="1"/>
  <c r="E100" i="34"/>
  <c r="T100" i="34" s="1"/>
  <c r="E107" i="34"/>
  <c r="D30" i="34"/>
  <c r="E13" i="34"/>
  <c r="D80" i="34"/>
  <c r="AB80" i="34" s="1"/>
  <c r="N16" i="8"/>
  <c r="M16" i="8" s="1"/>
  <c r="N21" i="8"/>
  <c r="M21" i="8" s="1"/>
  <c r="N276" i="8"/>
  <c r="H27" i="15" s="1"/>
  <c r="N118" i="8"/>
  <c r="M118" i="8" s="1"/>
  <c r="N185" i="8"/>
  <c r="N225" i="8"/>
  <c r="N218" i="8"/>
  <c r="M218" i="8" s="1"/>
  <c r="E96" i="34"/>
  <c r="E61" i="34"/>
  <c r="D68" i="34"/>
  <c r="E88" i="34"/>
  <c r="T88" i="34" s="1"/>
  <c r="E101" i="34"/>
  <c r="E114" i="34"/>
  <c r="D25" i="34"/>
  <c r="D11" i="34"/>
  <c r="N148" i="8"/>
  <c r="E68" i="34"/>
  <c r="E81" i="34"/>
  <c r="M114" i="7" s="1"/>
  <c r="E94" i="34"/>
  <c r="M151" i="7" s="1"/>
  <c r="N13" i="8"/>
  <c r="M13" i="8" s="1"/>
  <c r="N28" i="8"/>
  <c r="N164" i="8"/>
  <c r="M164" i="8" s="1"/>
  <c r="D57" i="34"/>
  <c r="D94" i="34"/>
  <c r="N22" i="8"/>
  <c r="M22" i="8" s="1"/>
  <c r="N107" i="8"/>
  <c r="M107" i="8" s="1"/>
  <c r="E57" i="34"/>
  <c r="T57" i="34" s="1"/>
  <c r="D69" i="34"/>
  <c r="E75" i="34"/>
  <c r="E102" i="34"/>
  <c r="E109" i="34"/>
  <c r="T109" i="34" s="1"/>
  <c r="E115" i="34"/>
  <c r="N14" i="8"/>
  <c r="M14" i="8" s="1"/>
  <c r="N194" i="8"/>
  <c r="M194" i="8" s="1"/>
  <c r="E91" i="34"/>
  <c r="M140" i="7" s="1"/>
  <c r="D24" i="34"/>
  <c r="D50" i="34"/>
  <c r="E69" i="34"/>
  <c r="E83" i="34"/>
  <c r="M156" i="7" s="1"/>
  <c r="N17" i="8"/>
  <c r="M17" i="8" s="1"/>
  <c r="N157" i="8"/>
  <c r="M157" i="8" s="1"/>
  <c r="E63" i="34"/>
  <c r="D76" i="34"/>
  <c r="T76" i="34" s="1"/>
  <c r="E95" i="34"/>
  <c r="E103" i="34"/>
  <c r="E110" i="34"/>
  <c r="E116" i="34"/>
  <c r="N15" i="8"/>
  <c r="M15" i="8" s="1"/>
  <c r="N126" i="8"/>
  <c r="M126" i="8" s="1"/>
  <c r="N195" i="8"/>
  <c r="M195" i="8" s="1"/>
  <c r="E84" i="34"/>
  <c r="T84" i="34" s="1"/>
  <c r="E85" i="34"/>
  <c r="D18" i="34"/>
  <c r="D70" i="34"/>
  <c r="E90" i="34"/>
  <c r="M137" i="7" s="1"/>
  <c r="N139" i="8"/>
  <c r="N214" i="8"/>
  <c r="M214" i="8" s="1"/>
  <c r="N221" i="8"/>
  <c r="M221" i="8" s="1"/>
  <c r="K272" i="8"/>
  <c r="J272" i="8"/>
  <c r="K201" i="8"/>
  <c r="L80" i="7"/>
  <c r="L97" i="7" s="1"/>
  <c r="J130" i="34"/>
  <c r="T11" i="34"/>
  <c r="T86" i="34"/>
  <c r="I82" i="33"/>
  <c r="AO182" i="33"/>
  <c r="H266" i="33"/>
  <c r="J201" i="8"/>
  <c r="L178" i="8"/>
  <c r="AO195" i="33"/>
  <c r="L23" i="8"/>
  <c r="L29" i="8"/>
  <c r="L141" i="8"/>
  <c r="AO185" i="33"/>
  <c r="M149" i="8"/>
  <c r="L102" i="8"/>
  <c r="J24" i="33"/>
  <c r="AF28" i="33"/>
  <c r="AF36" i="33"/>
  <c r="AF73" i="33"/>
  <c r="AF85" i="33"/>
  <c r="AF101" i="33"/>
  <c r="K203" i="33"/>
  <c r="K211" i="33"/>
  <c r="J219" i="33"/>
  <c r="J223" i="33"/>
  <c r="H235" i="33"/>
  <c r="Y238" i="33"/>
  <c r="K242" i="33"/>
  <c r="J246" i="33"/>
  <c r="AF255" i="33"/>
  <c r="AF259" i="33"/>
  <c r="T112" i="34"/>
  <c r="J33" i="33"/>
  <c r="M224" i="8"/>
  <c r="H16" i="33"/>
  <c r="H33" i="33"/>
  <c r="AF45" i="33"/>
  <c r="J54" i="33"/>
  <c r="H90" i="33"/>
  <c r="J94" i="33"/>
  <c r="AF161" i="33"/>
  <c r="J172" i="33"/>
  <c r="AF177" i="33"/>
  <c r="AO180" i="33"/>
  <c r="K192" i="33"/>
  <c r="AF200" i="33"/>
  <c r="H208" i="33"/>
  <c r="K212" i="33"/>
  <c r="H223" i="33"/>
  <c r="AF232" i="33"/>
  <c r="H252" i="33"/>
  <c r="Y255" i="33"/>
  <c r="L237" i="8"/>
  <c r="M225" i="8"/>
  <c r="AF16" i="33"/>
  <c r="J20" i="33"/>
  <c r="J25" i="33"/>
  <c r="Y33" i="33"/>
  <c r="K108" i="33"/>
  <c r="Y74" i="33"/>
  <c r="AF98" i="33"/>
  <c r="K181" i="33"/>
  <c r="K208" i="33"/>
  <c r="AF212" i="33"/>
  <c r="Y216" i="33"/>
  <c r="AF224" i="33"/>
  <c r="AF236" i="33"/>
  <c r="K260" i="33"/>
  <c r="T87" i="34"/>
  <c r="H50" i="33"/>
  <c r="J58" i="33"/>
  <c r="Y67" i="33"/>
  <c r="K244" i="33"/>
  <c r="AF248" i="33"/>
  <c r="H260" i="33"/>
  <c r="T23" i="34"/>
  <c r="M48" i="8"/>
  <c r="M185" i="8"/>
  <c r="J26" i="33"/>
  <c r="AF42" i="33"/>
  <c r="J71" i="33"/>
  <c r="AF79" i="33"/>
  <c r="K96" i="33"/>
  <c r="AF87" i="33"/>
  <c r="Y94" i="33"/>
  <c r="AO98" i="33"/>
  <c r="AF103" i="33"/>
  <c r="AF107" i="33"/>
  <c r="Y181" i="33"/>
  <c r="AF189" i="33"/>
  <c r="H201" i="33"/>
  <c r="AF208" i="33"/>
  <c r="K213" i="33"/>
  <c r="H253" i="33"/>
  <c r="J260" i="33"/>
  <c r="T10" i="34"/>
  <c r="AF94" i="33"/>
  <c r="Y98" i="33"/>
  <c r="Y201" i="33"/>
  <c r="J253" i="33"/>
  <c r="Y260" i="33"/>
  <c r="AF75" i="33"/>
  <c r="J103" i="33"/>
  <c r="Y197" i="33"/>
  <c r="AF221" i="33"/>
  <c r="J233" i="33"/>
  <c r="Y253" i="33"/>
  <c r="Y26" i="33"/>
  <c r="AF38" i="33"/>
  <c r="AF43" i="33"/>
  <c r="Y64" i="33"/>
  <c r="AF72" i="33"/>
  <c r="Y83" i="33"/>
  <c r="AF92" i="33"/>
  <c r="Y103" i="33"/>
  <c r="J128" i="33"/>
  <c r="AF169" i="33"/>
  <c r="J186" i="33"/>
  <c r="J190" i="33"/>
  <c r="AO194" i="33"/>
  <c r="J202" i="33"/>
  <c r="K214" i="33"/>
  <c r="AF245" i="33"/>
  <c r="AF253" i="33"/>
  <c r="AF257" i="33"/>
  <c r="Z64" i="33"/>
  <c r="AF198" i="33"/>
  <c r="AF206" i="33"/>
  <c r="AF226" i="33"/>
  <c r="K259" i="33"/>
  <c r="AF254" i="33"/>
  <c r="AF88" i="33"/>
  <c r="J95" i="33"/>
  <c r="J133" i="33"/>
  <c r="AF252" i="33"/>
  <c r="L262" i="8"/>
  <c r="M28" i="8"/>
  <c r="M139" i="8"/>
  <c r="M235" i="8"/>
  <c r="J19" i="33"/>
  <c r="AF27" i="33"/>
  <c r="AF60" i="33"/>
  <c r="K107" i="33"/>
  <c r="Z80" i="33"/>
  <c r="J92" i="33"/>
  <c r="I108" i="33"/>
  <c r="J170" i="33"/>
  <c r="Y179" i="33"/>
  <c r="J183" i="33"/>
  <c r="AF195" i="33"/>
  <c r="AF210" i="33"/>
  <c r="H226" i="33"/>
  <c r="H230" i="33"/>
  <c r="AF250" i="33"/>
  <c r="Y254" i="33"/>
  <c r="AF262" i="33"/>
  <c r="M236" i="8"/>
  <c r="N6" i="33"/>
  <c r="H15" i="33"/>
  <c r="J27" i="33"/>
  <c r="H32" i="33"/>
  <c r="Y69" i="33"/>
  <c r="H73" i="33"/>
  <c r="AF80" i="33"/>
  <c r="AF96" i="33"/>
  <c r="AF119" i="33"/>
  <c r="AF179" i="33"/>
  <c r="AF186" i="33"/>
  <c r="K199" i="33"/>
  <c r="J207" i="33"/>
  <c r="AF215" i="33"/>
  <c r="AF219" i="33"/>
  <c r="K222" i="33"/>
  <c r="J226" i="33"/>
  <c r="H238" i="33"/>
  <c r="T50" i="34"/>
  <c r="T71" i="34"/>
  <c r="M169" i="8"/>
  <c r="M258" i="8"/>
  <c r="AF104" i="33"/>
  <c r="Y226" i="33"/>
  <c r="J238" i="33"/>
  <c r="H246" i="33"/>
  <c r="J115" i="7"/>
  <c r="L38" i="8"/>
  <c r="L63" i="8"/>
  <c r="AF18" i="33"/>
  <c r="AF21" i="33"/>
  <c r="AF44" i="33"/>
  <c r="H51" i="33"/>
  <c r="AF62" i="33"/>
  <c r="AF69" i="33"/>
  <c r="J72" i="33"/>
  <c r="K112" i="33"/>
  <c r="J82" i="33"/>
  <c r="I98" i="33"/>
  <c r="J104" i="33"/>
  <c r="AF181" i="33"/>
  <c r="AF188" i="33"/>
  <c r="Y190" i="33"/>
  <c r="AF197" i="33"/>
  <c r="AF199" i="33"/>
  <c r="AF214" i="33"/>
  <c r="J224" i="33"/>
  <c r="K226" i="33"/>
  <c r="AF240" i="33"/>
  <c r="H248" i="33"/>
  <c r="N231" i="8" s="1"/>
  <c r="H263" i="33"/>
  <c r="H18" i="33"/>
  <c r="H21" i="33"/>
  <c r="H44" i="33"/>
  <c r="Z72" i="33"/>
  <c r="H91" i="33"/>
  <c r="J93" i="33"/>
  <c r="K134" i="33"/>
  <c r="AF167" i="33"/>
  <c r="AF190" i="33"/>
  <c r="H194" i="33"/>
  <c r="H217" i="33"/>
  <c r="K224" i="33"/>
  <c r="H232" i="33"/>
  <c r="H234" i="33"/>
  <c r="H236" i="33"/>
  <c r="J248" i="33"/>
  <c r="J263" i="33"/>
  <c r="T25" i="34"/>
  <c r="J18" i="33"/>
  <c r="F278" i="33"/>
  <c r="F281" i="33" s="1"/>
  <c r="Z62" i="33"/>
  <c r="J217" i="33"/>
  <c r="Y224" i="33"/>
  <c r="J232" i="33"/>
  <c r="J234" i="33"/>
  <c r="J236" i="33"/>
  <c r="K248" i="33"/>
  <c r="L90" i="8"/>
  <c r="J34" i="33"/>
  <c r="AF48" i="33"/>
  <c r="AO51" i="33"/>
  <c r="H89" i="33"/>
  <c r="J91" i="33"/>
  <c r="J102" i="33"/>
  <c r="J108" i="33"/>
  <c r="J176" i="33"/>
  <c r="K194" i="33"/>
  <c r="H196" i="33"/>
  <c r="H200" i="33"/>
  <c r="H205" i="33"/>
  <c r="H209" i="33"/>
  <c r="H211" i="33"/>
  <c r="H213" i="33"/>
  <c r="K217" i="33"/>
  <c r="J222" i="33"/>
  <c r="K232" i="33"/>
  <c r="K234" i="33"/>
  <c r="K236" i="33"/>
  <c r="H244" i="33"/>
  <c r="AO253" i="33"/>
  <c r="T30" i="34"/>
  <c r="T35" i="34"/>
  <c r="T96" i="34"/>
  <c r="T113" i="34"/>
  <c r="T117" i="34"/>
  <c r="H25" i="33"/>
  <c r="H28" i="33"/>
  <c r="H31" i="33"/>
  <c r="J52" i="33"/>
  <c r="AF59" i="33"/>
  <c r="Y70" i="33"/>
  <c r="K111" i="33"/>
  <c r="J86" i="33"/>
  <c r="I89" i="33"/>
  <c r="Y91" i="33"/>
  <c r="AF102" i="33"/>
  <c r="H138" i="33"/>
  <c r="H187" i="33"/>
  <c r="H189" i="33"/>
  <c r="Y194" i="33"/>
  <c r="J196" i="33"/>
  <c r="H198" i="33"/>
  <c r="J200" i="33"/>
  <c r="J205" i="33"/>
  <c r="K207" i="33"/>
  <c r="J209" i="33"/>
  <c r="J211" i="33"/>
  <c r="J213" i="33"/>
  <c r="H215" i="33"/>
  <c r="Y217" i="33"/>
  <c r="Y234" i="33"/>
  <c r="Y236" i="33"/>
  <c r="J244" i="33"/>
  <c r="J28" i="33"/>
  <c r="J96" i="33"/>
  <c r="H182" i="33"/>
  <c r="J187" i="33"/>
  <c r="J189" i="33"/>
  <c r="K196" i="33"/>
  <c r="J198" i="33"/>
  <c r="K205" i="33"/>
  <c r="K209" i="33"/>
  <c r="AF234" i="33"/>
  <c r="L55" i="8"/>
  <c r="L68" i="8"/>
  <c r="J22" i="33"/>
  <c r="Y28" i="33"/>
  <c r="Y96" i="33"/>
  <c r="J109" i="33"/>
  <c r="J126" i="33"/>
  <c r="AF149" i="33"/>
  <c r="AF173" i="33"/>
  <c r="J182" i="33"/>
  <c r="K187" i="33"/>
  <c r="K189" i="33"/>
  <c r="AF192" i="33"/>
  <c r="K198" i="33"/>
  <c r="Y205" i="33"/>
  <c r="Y209" i="33"/>
  <c r="Y211" i="33"/>
  <c r="Y213" i="33"/>
  <c r="K215" i="33"/>
  <c r="H220" i="33"/>
  <c r="J230" i="33"/>
  <c r="H239" i="33"/>
  <c r="Y244" i="33"/>
  <c r="K246" i="33"/>
  <c r="J252" i="33"/>
  <c r="H254" i="33"/>
  <c r="H256" i="33"/>
  <c r="K261" i="33"/>
  <c r="G278" i="33"/>
  <c r="G281" i="33" s="1"/>
  <c r="AF159" i="33"/>
  <c r="H173" i="33"/>
  <c r="K182" i="33"/>
  <c r="Y187" i="33"/>
  <c r="Y189" i="33"/>
  <c r="Y198" i="33"/>
  <c r="AF203" i="33"/>
  <c r="Y215" i="33"/>
  <c r="H225" i="33"/>
  <c r="H227" i="33"/>
  <c r="K230" i="33"/>
  <c r="K239" i="33"/>
  <c r="Y246" i="33"/>
  <c r="K252" i="33"/>
  <c r="J254" i="33"/>
  <c r="J13" i="33"/>
  <c r="J16" i="33"/>
  <c r="AF26" i="33"/>
  <c r="Y73" i="33"/>
  <c r="K83" i="33"/>
  <c r="H92" i="33"/>
  <c r="AF99" i="33"/>
  <c r="AF122" i="33"/>
  <c r="AF139" i="33"/>
  <c r="Y182" i="33"/>
  <c r="K201" i="33"/>
  <c r="J225" i="33"/>
  <c r="J227" i="33"/>
  <c r="H242" i="33"/>
  <c r="K254" i="33"/>
  <c r="AA259" i="33"/>
  <c r="J118" i="33"/>
  <c r="AF174" i="33"/>
  <c r="Y225" i="33"/>
  <c r="K227" i="33"/>
  <c r="Y227" i="33"/>
  <c r="K10" i="33"/>
  <c r="K262" i="33" s="1"/>
  <c r="M57" i="33"/>
  <c r="M82" i="33" s="1"/>
  <c r="J29" i="33"/>
  <c r="Y71" i="33"/>
  <c r="J90" i="33"/>
  <c r="Y92" i="33"/>
  <c r="H97" i="33"/>
  <c r="K110" i="33"/>
  <c r="K118" i="33"/>
  <c r="AF183" i="33"/>
  <c r="H186" i="33"/>
  <c r="J193" i="33"/>
  <c r="J195" i="33"/>
  <c r="H204" i="33"/>
  <c r="H206" i="33"/>
  <c r="H210" i="33"/>
  <c r="H212" i="33"/>
  <c r="H214" i="33"/>
  <c r="H221" i="33"/>
  <c r="K233" i="33"/>
  <c r="K235" i="33"/>
  <c r="Y242" i="33"/>
  <c r="H245" i="33"/>
  <c r="H250" i="33"/>
  <c r="H257" i="33"/>
  <c r="J262" i="33"/>
  <c r="T28" i="34"/>
  <c r="T111" i="34"/>
  <c r="T119" i="34"/>
  <c r="AF10" i="33"/>
  <c r="K67" i="33"/>
  <c r="AF29" i="33"/>
  <c r="H36" i="33"/>
  <c r="H46" i="33"/>
  <c r="Y61" i="33"/>
  <c r="AF71" i="33"/>
  <c r="K116" i="33"/>
  <c r="Y90" i="33"/>
  <c r="K117" i="33"/>
  <c r="AF165" i="33"/>
  <c r="H174" i="33"/>
  <c r="H181" i="33"/>
  <c r="H188" i="33"/>
  <c r="K195" i="33"/>
  <c r="H197" i="33"/>
  <c r="J204" i="33"/>
  <c r="J206" i="33"/>
  <c r="J208" i="33"/>
  <c r="J210" i="33"/>
  <c r="J212" i="33"/>
  <c r="Y233" i="33"/>
  <c r="H240" i="33"/>
  <c r="J245" i="33"/>
  <c r="J250" i="33"/>
  <c r="J257" i="33"/>
  <c r="E278" i="33"/>
  <c r="J88" i="33"/>
  <c r="J107" i="33"/>
  <c r="K174" i="33"/>
  <c r="J181" i="33"/>
  <c r="J188" i="33"/>
  <c r="H190" i="33"/>
  <c r="J197" i="33"/>
  <c r="J199" i="33"/>
  <c r="K204" i="33"/>
  <c r="Y206" i="33"/>
  <c r="K210" i="33"/>
  <c r="J240" i="33"/>
  <c r="K245" i="33"/>
  <c r="K250" i="33"/>
  <c r="K257" i="33"/>
  <c r="AA14" i="33"/>
  <c r="I27" i="33"/>
  <c r="J69" i="33"/>
  <c r="AF93" i="33"/>
  <c r="J98" i="33"/>
  <c r="AF141" i="33"/>
  <c r="AF171" i="33"/>
  <c r="AF175" i="33"/>
  <c r="AF202" i="33"/>
  <c r="AF125" i="33"/>
  <c r="Y125" i="33"/>
  <c r="AF178" i="33"/>
  <c r="Y178" i="33"/>
  <c r="K178" i="33"/>
  <c r="J178" i="33"/>
  <c r="H178" i="33"/>
  <c r="AF218" i="33"/>
  <c r="K218" i="33"/>
  <c r="J218" i="33"/>
  <c r="H12" i="33"/>
  <c r="J17" i="33"/>
  <c r="K82" i="33"/>
  <c r="AF31" i="33"/>
  <c r="Y31" i="33"/>
  <c r="AF57" i="33"/>
  <c r="Y57" i="33"/>
  <c r="J57" i="33"/>
  <c r="Z58" i="33"/>
  <c r="AF65" i="33"/>
  <c r="AF70" i="33"/>
  <c r="Y76" i="33"/>
  <c r="J76" i="33"/>
  <c r="Y79" i="33"/>
  <c r="J79" i="33"/>
  <c r="H79" i="33"/>
  <c r="J101" i="33"/>
  <c r="I118" i="33"/>
  <c r="J134" i="33"/>
  <c r="AF138" i="33"/>
  <c r="Y138" i="33"/>
  <c r="K138" i="33"/>
  <c r="AF170" i="33"/>
  <c r="Y170" i="33"/>
  <c r="K170" i="33"/>
  <c r="H170" i="33"/>
  <c r="J12" i="33"/>
  <c r="AF15" i="33"/>
  <c r="Y17" i="33"/>
  <c r="J23" i="33"/>
  <c r="Y42" i="33"/>
  <c r="Y45" i="33"/>
  <c r="J45" i="33"/>
  <c r="H45" i="33"/>
  <c r="H48" i="33"/>
  <c r="H54" i="33"/>
  <c r="Y60" i="33"/>
  <c r="J60" i="33"/>
  <c r="J68" i="33"/>
  <c r="J84" i="33"/>
  <c r="J87" i="33"/>
  <c r="AB260" i="33"/>
  <c r="AF193" i="33"/>
  <c r="D278" i="33"/>
  <c r="AF17" i="33"/>
  <c r="Y68" i="33"/>
  <c r="Y84" i="33"/>
  <c r="Y87" i="33"/>
  <c r="AF132" i="33"/>
  <c r="Y132" i="33"/>
  <c r="AF150" i="33"/>
  <c r="Y150" i="33"/>
  <c r="K150" i="33"/>
  <c r="J150" i="33"/>
  <c r="AF154" i="33"/>
  <c r="Y154" i="33"/>
  <c r="K154" i="33"/>
  <c r="J154" i="33"/>
  <c r="AF158" i="33"/>
  <c r="Y158" i="33"/>
  <c r="K158" i="33"/>
  <c r="J158" i="33"/>
  <c r="AF162" i="33"/>
  <c r="Y162" i="33"/>
  <c r="K162" i="33"/>
  <c r="J162" i="33"/>
  <c r="AF166" i="33"/>
  <c r="Y166" i="33"/>
  <c r="K166" i="33"/>
  <c r="J166" i="33"/>
  <c r="AF216" i="33"/>
  <c r="K241" i="33"/>
  <c r="K216" i="33"/>
  <c r="J216" i="33"/>
  <c r="J63" i="33"/>
  <c r="H63" i="33"/>
  <c r="AF110" i="33"/>
  <c r="Y110" i="33"/>
  <c r="J125" i="33"/>
  <c r="AF135" i="33"/>
  <c r="Y135" i="33"/>
  <c r="K135" i="33"/>
  <c r="J135" i="33"/>
  <c r="AO183" i="33"/>
  <c r="H183" i="33"/>
  <c r="AF231" i="33"/>
  <c r="Y231" i="33"/>
  <c r="K231" i="33"/>
  <c r="J231" i="33"/>
  <c r="H231" i="33"/>
  <c r="AF247" i="33"/>
  <c r="K247" i="33"/>
  <c r="J247" i="33"/>
  <c r="AB259" i="33"/>
  <c r="AB262" i="33" s="1"/>
  <c r="J40" i="33"/>
  <c r="H40" i="33"/>
  <c r="AF142" i="33"/>
  <c r="Y142" i="33"/>
  <c r="K142" i="33"/>
  <c r="J142" i="33"/>
  <c r="K61" i="33"/>
  <c r="Y10" i="33"/>
  <c r="AA260" i="33"/>
  <c r="J10" i="33"/>
  <c r="K52" i="33"/>
  <c r="N5" i="33"/>
  <c r="AA13" i="33"/>
  <c r="AF113" i="33"/>
  <c r="Y113" i="33"/>
  <c r="K65" i="33"/>
  <c r="AF13" i="33"/>
  <c r="J15" i="33"/>
  <c r="Y23" i="33"/>
  <c r="Y43" i="33"/>
  <c r="J43" i="33"/>
  <c r="H43" i="33"/>
  <c r="AF49" i="33"/>
  <c r="Y49" i="33"/>
  <c r="J49" i="33"/>
  <c r="AA21" i="33"/>
  <c r="Y54" i="33"/>
  <c r="Y63" i="33"/>
  <c r="J66" i="33"/>
  <c r="AF76" i="33"/>
  <c r="J80" i="33"/>
  <c r="Y82" i="33"/>
  <c r="Y119" i="33"/>
  <c r="J119" i="33"/>
  <c r="H142" i="33"/>
  <c r="H150" i="33"/>
  <c r="H154" i="33"/>
  <c r="H158" i="33"/>
  <c r="H162" i="33"/>
  <c r="H166" i="33"/>
  <c r="AO247" i="33"/>
  <c r="H247" i="33"/>
  <c r="AF51" i="33"/>
  <c r="Y51" i="33"/>
  <c r="J51" i="33"/>
  <c r="AF146" i="33"/>
  <c r="Y146" i="33"/>
  <c r="K146" i="33"/>
  <c r="J146" i="33"/>
  <c r="Y37" i="33"/>
  <c r="J37" i="33"/>
  <c r="H37" i="33"/>
  <c r="AF68" i="33"/>
  <c r="AF116" i="33"/>
  <c r="Y116" i="33"/>
  <c r="H10" i="33"/>
  <c r="J21" i="33"/>
  <c r="AF32" i="33"/>
  <c r="Y32" i="33"/>
  <c r="AF37" i="33"/>
  <c r="Y40" i="33"/>
  <c r="Y46" i="33"/>
  <c r="J46" i="33"/>
  <c r="Z54" i="33"/>
  <c r="AF63" i="33"/>
  <c r="Y66" i="33"/>
  <c r="AF82" i="33"/>
  <c r="Y85" i="33"/>
  <c r="J85" i="33"/>
  <c r="J110" i="33"/>
  <c r="AF126" i="33"/>
  <c r="Y126" i="33"/>
  <c r="J132" i="33"/>
  <c r="Y139" i="33"/>
  <c r="K139" i="33"/>
  <c r="J139" i="33"/>
  <c r="H139" i="33"/>
  <c r="J42" i="33"/>
  <c r="H42" i="33"/>
  <c r="AF12" i="33"/>
  <c r="J35" i="33"/>
  <c r="H35" i="33"/>
  <c r="AF40" i="33"/>
  <c r="H52" i="33"/>
  <c r="AF54" i="33"/>
  <c r="AF66" i="33"/>
  <c r="Y77" i="33"/>
  <c r="J77" i="33"/>
  <c r="K113" i="33"/>
  <c r="H77" i="33"/>
  <c r="J113" i="33"/>
  <c r="J116" i="33"/>
  <c r="J129" i="33"/>
  <c r="K132" i="33"/>
  <c r="Y143" i="33"/>
  <c r="K143" i="33"/>
  <c r="J143" i="33"/>
  <c r="H143" i="33"/>
  <c r="Y147" i="33"/>
  <c r="K147" i="33"/>
  <c r="J147" i="33"/>
  <c r="H147" i="33"/>
  <c r="Y151" i="33"/>
  <c r="K151" i="33"/>
  <c r="J151" i="33"/>
  <c r="H151" i="33"/>
  <c r="Y155" i="33"/>
  <c r="K155" i="33"/>
  <c r="J155" i="33"/>
  <c r="H155" i="33"/>
  <c r="AF243" i="33"/>
  <c r="J243" i="33"/>
  <c r="H243" i="33"/>
  <c r="J269" i="34"/>
  <c r="J270" i="34"/>
  <c r="Y122" i="33"/>
  <c r="J122" i="33"/>
  <c r="H13" i="33"/>
  <c r="AF24" i="33"/>
  <c r="Y24" i="33"/>
  <c r="J38" i="33"/>
  <c r="H38" i="33"/>
  <c r="U52" i="33"/>
  <c r="J61" i="33"/>
  <c r="H61" i="33"/>
  <c r="J64" i="33"/>
  <c r="H64" i="33"/>
  <c r="J74" i="33"/>
  <c r="H74" i="33"/>
  <c r="J83" i="33"/>
  <c r="H83" i="33"/>
  <c r="K115" i="33"/>
  <c r="K102" i="33"/>
  <c r="AF105" i="33"/>
  <c r="J105" i="33"/>
  <c r="K126" i="33"/>
  <c r="AF108" i="33"/>
  <c r="Y108" i="33"/>
  <c r="AF123" i="33"/>
  <c r="Y123" i="33"/>
  <c r="J123" i="33"/>
  <c r="I126" i="33"/>
  <c r="AF136" i="33"/>
  <c r="Y136" i="33"/>
  <c r="K136" i="33"/>
  <c r="AF172" i="33"/>
  <c r="H172" i="33"/>
  <c r="J41" i="33"/>
  <c r="H41" i="33"/>
  <c r="AF50" i="33"/>
  <c r="Y50" i="33"/>
  <c r="Y52" i="33"/>
  <c r="J67" i="33"/>
  <c r="H67" i="33"/>
  <c r="AF77" i="33"/>
  <c r="K88" i="33"/>
  <c r="AF111" i="33"/>
  <c r="Y111" i="33"/>
  <c r="K133" i="33"/>
  <c r="AF114" i="33"/>
  <c r="Y114" i="33"/>
  <c r="AF129" i="33"/>
  <c r="AF133" i="33"/>
  <c r="AF143" i="33"/>
  <c r="AF147" i="33"/>
  <c r="AF151" i="33"/>
  <c r="AF176" i="33"/>
  <c r="Y176" i="33"/>
  <c r="K176" i="33"/>
  <c r="H176" i="33"/>
  <c r="AF229" i="33"/>
  <c r="Y229" i="33"/>
  <c r="K229" i="33"/>
  <c r="J229" i="33"/>
  <c r="H229" i="33"/>
  <c r="Y48" i="33"/>
  <c r="J48" i="33"/>
  <c r="K51" i="33"/>
  <c r="AF11" i="33"/>
  <c r="Y11" i="33"/>
  <c r="AA18" i="33"/>
  <c r="Y29" i="33"/>
  <c r="J44" i="33"/>
  <c r="AF52" i="33"/>
  <c r="AF117" i="33"/>
  <c r="Y117" i="33"/>
  <c r="K282" i="33"/>
  <c r="Y120" i="33"/>
  <c r="J120" i="33"/>
  <c r="AF168" i="33"/>
  <c r="Y168" i="33"/>
  <c r="K168" i="33"/>
  <c r="H168" i="33"/>
  <c r="AF258" i="33"/>
  <c r="Y258" i="33"/>
  <c r="K258" i="33"/>
  <c r="J258" i="33"/>
  <c r="H258" i="33"/>
  <c r="Z259" i="33"/>
  <c r="AA129" i="33"/>
  <c r="Z260" i="33"/>
  <c r="K281" i="33"/>
  <c r="AF124" i="33"/>
  <c r="Y124" i="33"/>
  <c r="AF127" i="33"/>
  <c r="Y127" i="33"/>
  <c r="J127" i="33"/>
  <c r="AF130" i="33"/>
  <c r="Y130" i="33"/>
  <c r="J130" i="33"/>
  <c r="AF140" i="33"/>
  <c r="Y140" i="33"/>
  <c r="K140" i="33"/>
  <c r="J140" i="33"/>
  <c r="AF144" i="33"/>
  <c r="Y144" i="33"/>
  <c r="K144" i="33"/>
  <c r="J144" i="33"/>
  <c r="AF148" i="33"/>
  <c r="Y148" i="33"/>
  <c r="K148" i="33"/>
  <c r="J148" i="33"/>
  <c r="AF152" i="33"/>
  <c r="Y152" i="33"/>
  <c r="K152" i="33"/>
  <c r="J152" i="33"/>
  <c r="AF156" i="33"/>
  <c r="Y156" i="33"/>
  <c r="K156" i="33"/>
  <c r="J156" i="33"/>
  <c r="AF160" i="33"/>
  <c r="Y160" i="33"/>
  <c r="K160" i="33"/>
  <c r="J160" i="33"/>
  <c r="AF164" i="33"/>
  <c r="Y164" i="33"/>
  <c r="K164" i="33"/>
  <c r="J164" i="33"/>
  <c r="AF185" i="33"/>
  <c r="Y185" i="33"/>
  <c r="K185" i="33"/>
  <c r="J185" i="33"/>
  <c r="H185" i="33"/>
  <c r="H222" i="33"/>
  <c r="AF47" i="33"/>
  <c r="Y47" i="33"/>
  <c r="J47" i="33"/>
  <c r="H47" i="33"/>
  <c r="AF100" i="33"/>
  <c r="J100" i="33"/>
  <c r="K122" i="33"/>
  <c r="AF56" i="33"/>
  <c r="Y56" i="33"/>
  <c r="J81" i="33"/>
  <c r="D81" i="34"/>
  <c r="J168" i="33"/>
  <c r="AF180" i="33"/>
  <c r="Y180" i="33"/>
  <c r="K180" i="33"/>
  <c r="J180" i="33"/>
  <c r="H180" i="33"/>
  <c r="AF241" i="33"/>
  <c r="J241" i="33"/>
  <c r="J78" i="33"/>
  <c r="H78" i="33"/>
  <c r="K121" i="33"/>
  <c r="K127" i="33"/>
  <c r="AF106" i="33"/>
  <c r="AF14" i="33"/>
  <c r="Y14" i="33"/>
  <c r="Y53" i="33"/>
  <c r="J53" i="33"/>
  <c r="H53" i="33"/>
  <c r="Y59" i="33"/>
  <c r="J59" i="33"/>
  <c r="I120" i="33"/>
  <c r="J11" i="33"/>
  <c r="AF25" i="33"/>
  <c r="Y25" i="33"/>
  <c r="J30" i="33"/>
  <c r="H30" i="33"/>
  <c r="Y41" i="33"/>
  <c r="K50" i="33"/>
  <c r="AA261" i="33"/>
  <c r="AA262" i="33" s="1"/>
  <c r="J62" i="33"/>
  <c r="H62" i="33"/>
  <c r="AF67" i="33"/>
  <c r="Y72" i="33"/>
  <c r="Y75" i="33"/>
  <c r="J75" i="33"/>
  <c r="H75" i="33"/>
  <c r="AF83" i="33"/>
  <c r="AF89" i="33"/>
  <c r="K114" i="33"/>
  <c r="J117" i="33"/>
  <c r="AF120" i="33"/>
  <c r="AF137" i="33"/>
  <c r="Y137" i="33"/>
  <c r="K137" i="33"/>
  <c r="J137" i="33"/>
  <c r="H140" i="33"/>
  <c r="H144" i="33"/>
  <c r="H148" i="33"/>
  <c r="H152" i="33"/>
  <c r="H156" i="33"/>
  <c r="H160" i="33"/>
  <c r="H164" i="33"/>
  <c r="AF220" i="33"/>
  <c r="K220" i="33"/>
  <c r="J220" i="33"/>
  <c r="AO241" i="33"/>
  <c r="H241" i="33"/>
  <c r="AA125" i="33"/>
  <c r="M283" i="33"/>
  <c r="AC259" i="33"/>
  <c r="AC262" i="33" s="1"/>
  <c r="H14" i="33"/>
  <c r="H22" i="33"/>
  <c r="Y39" i="33"/>
  <c r="J39" i="33"/>
  <c r="H39" i="33"/>
  <c r="AF41" i="33"/>
  <c r="AF53" i="33"/>
  <c r="H56" i="33"/>
  <c r="H59" i="33"/>
  <c r="J65" i="33"/>
  <c r="H65" i="33"/>
  <c r="J70" i="33"/>
  <c r="Y78" i="33"/>
  <c r="K95" i="33"/>
  <c r="J106" i="33"/>
  <c r="AF109" i="33"/>
  <c r="Y109" i="33"/>
  <c r="AF112" i="33"/>
  <c r="Y112" i="33"/>
  <c r="J124" i="33"/>
  <c r="AC225" i="33"/>
  <c r="Z261" i="33"/>
  <c r="AF134" i="33"/>
  <c r="Y134" i="33"/>
  <c r="AF239" i="33"/>
  <c r="J239" i="33"/>
  <c r="AF115" i="33"/>
  <c r="Y115" i="33"/>
  <c r="AF118" i="33"/>
  <c r="Y118" i="33"/>
  <c r="Y121" i="33"/>
  <c r="J121" i="33"/>
  <c r="AF128" i="33"/>
  <c r="Y128" i="33"/>
  <c r="AF131" i="33"/>
  <c r="Y131" i="33"/>
  <c r="J131" i="33"/>
  <c r="Y141" i="33"/>
  <c r="K141" i="33"/>
  <c r="J141" i="33"/>
  <c r="H141" i="33"/>
  <c r="Y145" i="33"/>
  <c r="K145" i="33"/>
  <c r="J145" i="33"/>
  <c r="H145" i="33"/>
  <c r="Y149" i="33"/>
  <c r="K149" i="33"/>
  <c r="J149" i="33"/>
  <c r="H149" i="33"/>
  <c r="Y153" i="33"/>
  <c r="K153" i="33"/>
  <c r="J153" i="33"/>
  <c r="H153" i="33"/>
  <c r="Y157" i="33"/>
  <c r="K157" i="33"/>
  <c r="J157" i="33"/>
  <c r="H157" i="33"/>
  <c r="N61" i="8" s="1"/>
  <c r="AF249" i="33"/>
  <c r="Y249" i="33"/>
  <c r="K249" i="33"/>
  <c r="J249" i="33"/>
  <c r="H249" i="33"/>
  <c r="AF261" i="33"/>
  <c r="Y261" i="33"/>
  <c r="J261" i="33"/>
  <c r="H261" i="33"/>
  <c r="T104" i="34"/>
  <c r="J174" i="33"/>
  <c r="H193" i="33"/>
  <c r="K200" i="33"/>
  <c r="K202" i="33"/>
  <c r="T18" i="34"/>
  <c r="Y174" i="33"/>
  <c r="K183" i="33"/>
  <c r="K193" i="33"/>
  <c r="Y193" i="33"/>
  <c r="H199" i="33"/>
  <c r="J173" i="33"/>
  <c r="J201" i="33"/>
  <c r="J203" i="33"/>
  <c r="H169" i="33"/>
  <c r="H171" i="33"/>
  <c r="K173" i="33"/>
  <c r="H175" i="33"/>
  <c r="H177" i="33"/>
  <c r="H184" i="33"/>
  <c r="H192" i="33"/>
  <c r="AF95" i="33"/>
  <c r="Y107" i="33"/>
  <c r="K109" i="33"/>
  <c r="H159" i="33"/>
  <c r="H161" i="33"/>
  <c r="H163" i="33"/>
  <c r="H165" i="33"/>
  <c r="H167" i="33"/>
  <c r="J169" i="33"/>
  <c r="J171" i="33"/>
  <c r="J175" i="33"/>
  <c r="J177" i="33"/>
  <c r="J184" i="33"/>
  <c r="J192" i="33"/>
  <c r="K119" i="33"/>
  <c r="Y133" i="33"/>
  <c r="J159" i="33"/>
  <c r="J161" i="33"/>
  <c r="J163" i="33"/>
  <c r="J165" i="33"/>
  <c r="J167" i="33"/>
  <c r="K169" i="33"/>
  <c r="K171" i="33"/>
  <c r="K175" i="33"/>
  <c r="K177" i="33"/>
  <c r="K184" i="33"/>
  <c r="U119" i="33"/>
  <c r="K159" i="33"/>
  <c r="K161" i="33"/>
  <c r="K163" i="33"/>
  <c r="K165" i="33"/>
  <c r="Y167" i="33"/>
  <c r="Y169" i="33"/>
  <c r="Y171" i="33"/>
  <c r="Y175" i="33"/>
  <c r="Y177" i="33"/>
  <c r="Y184" i="33"/>
  <c r="L152" i="8"/>
  <c r="L123" i="8"/>
  <c r="L158" i="8"/>
  <c r="L198" i="8"/>
  <c r="L228" i="8"/>
  <c r="L173" i="8"/>
  <c r="L136" i="8"/>
  <c r="L270" i="8"/>
  <c r="L18" i="8"/>
  <c r="J123" i="7"/>
  <c r="N277" i="8" l="1"/>
  <c r="M276" i="8"/>
  <c r="M277" i="8" s="1"/>
  <c r="T94" i="34"/>
  <c r="AB94" i="34"/>
  <c r="M47" i="7"/>
  <c r="AB21" i="34"/>
  <c r="M127" i="7"/>
  <c r="AB66" i="34"/>
  <c r="M218" i="7"/>
  <c r="AB115" i="34"/>
  <c r="M116" i="7"/>
  <c r="AB60" i="34"/>
  <c r="M217" i="7"/>
  <c r="AB116" i="34"/>
  <c r="M208" i="7"/>
  <c r="AB109" i="34"/>
  <c r="M83" i="7"/>
  <c r="AB11" i="34"/>
  <c r="M209" i="7"/>
  <c r="AB110" i="34"/>
  <c r="M201" i="7"/>
  <c r="AB102" i="34"/>
  <c r="M29" i="7"/>
  <c r="AB25" i="34"/>
  <c r="M40" i="7"/>
  <c r="AB30" i="34"/>
  <c r="M49" i="7"/>
  <c r="AB35" i="34"/>
  <c r="M202" i="7"/>
  <c r="AB103" i="34"/>
  <c r="M213" i="7"/>
  <c r="AB114" i="34"/>
  <c r="M206" i="7"/>
  <c r="AB107" i="34"/>
  <c r="M165" i="7"/>
  <c r="AB95" i="34"/>
  <c r="M136" i="7"/>
  <c r="AB69" i="34"/>
  <c r="M200" i="7"/>
  <c r="AB101" i="34"/>
  <c r="M197" i="7"/>
  <c r="AB100" i="34"/>
  <c r="M205" i="7"/>
  <c r="AB106" i="34"/>
  <c r="M89" i="7"/>
  <c r="AB76" i="34"/>
  <c r="M131" i="7"/>
  <c r="AB88" i="34"/>
  <c r="M226" i="7"/>
  <c r="AB99" i="34"/>
  <c r="M133" i="7"/>
  <c r="AB68" i="34"/>
  <c r="M145" i="7"/>
  <c r="AB72" i="34"/>
  <c r="M204" i="7"/>
  <c r="AB105" i="34"/>
  <c r="T115" i="34"/>
  <c r="M178" i="7"/>
  <c r="AB96" i="34"/>
  <c r="M95" i="7"/>
  <c r="AB13" i="34"/>
  <c r="M142" i="7"/>
  <c r="AB71" i="34"/>
  <c r="M105" i="7"/>
  <c r="AB57" i="34"/>
  <c r="T20" i="34"/>
  <c r="M139" i="7"/>
  <c r="AB70" i="34"/>
  <c r="M225" i="7"/>
  <c r="AB119" i="34"/>
  <c r="M219" i="7"/>
  <c r="AB117" i="34"/>
  <c r="M20" i="7"/>
  <c r="AB18" i="34"/>
  <c r="M74" i="7"/>
  <c r="AB50" i="34"/>
  <c r="M212" i="7"/>
  <c r="AB113" i="34"/>
  <c r="M211" i="7"/>
  <c r="AB112" i="34"/>
  <c r="M210" i="7"/>
  <c r="AB111" i="34"/>
  <c r="AB81" i="34"/>
  <c r="M125" i="7"/>
  <c r="AB85" i="34"/>
  <c r="M24" i="7"/>
  <c r="AB24" i="34"/>
  <c r="AB93" i="34"/>
  <c r="M203" i="7"/>
  <c r="AB104" i="34"/>
  <c r="T110" i="34"/>
  <c r="M160" i="7"/>
  <c r="K160" i="7" s="1"/>
  <c r="AB84" i="34"/>
  <c r="M173" i="7"/>
  <c r="AB87" i="34"/>
  <c r="M128" i="7"/>
  <c r="AB86" i="34"/>
  <c r="M108" i="7"/>
  <c r="AB58" i="34"/>
  <c r="T116" i="34"/>
  <c r="T69" i="34"/>
  <c r="T106" i="34"/>
  <c r="T101" i="34"/>
  <c r="T93" i="34"/>
  <c r="T24" i="34"/>
  <c r="T85" i="34"/>
  <c r="T66" i="34"/>
  <c r="T21" i="34"/>
  <c r="T107" i="34"/>
  <c r="T114" i="34"/>
  <c r="T95" i="34"/>
  <c r="T80" i="34"/>
  <c r="T60" i="34"/>
  <c r="T72" i="34"/>
  <c r="T102" i="34"/>
  <c r="T70" i="34"/>
  <c r="T81" i="34"/>
  <c r="L249" i="8"/>
  <c r="N112" i="8"/>
  <c r="M112" i="8" s="1"/>
  <c r="N184" i="8"/>
  <c r="M184" i="8" s="1"/>
  <c r="D26" i="34"/>
  <c r="AB26" i="34" s="1"/>
  <c r="D33" i="34"/>
  <c r="AB33" i="34" s="1"/>
  <c r="N105" i="8"/>
  <c r="M105" i="8" s="1"/>
  <c r="N120" i="8"/>
  <c r="M120" i="8" s="1"/>
  <c r="N60" i="8"/>
  <c r="D54" i="34"/>
  <c r="AB54" i="34" s="1"/>
  <c r="N84" i="8"/>
  <c r="M84" i="8" s="1"/>
  <c r="N45" i="8"/>
  <c r="M45" i="8" s="1"/>
  <c r="D36" i="34"/>
  <c r="D41" i="34"/>
  <c r="N163" i="8"/>
  <c r="M163" i="8" s="1"/>
  <c r="N213" i="8"/>
  <c r="M213" i="8" s="1"/>
  <c r="N189" i="8"/>
  <c r="M189" i="8" s="1"/>
  <c r="N121" i="8"/>
  <c r="M121" i="8" s="1"/>
  <c r="D51" i="34"/>
  <c r="AB51" i="34" s="1"/>
  <c r="N132" i="8"/>
  <c r="M132" i="8" s="1"/>
  <c r="N100" i="8"/>
  <c r="M100" i="8" s="1"/>
  <c r="D12" i="34"/>
  <c r="N265" i="8"/>
  <c r="M265" i="8" s="1"/>
  <c r="N50" i="8"/>
  <c r="M50" i="8" s="1"/>
  <c r="D79" i="34"/>
  <c r="N109" i="8"/>
  <c r="M109" i="8" s="1"/>
  <c r="N113" i="8"/>
  <c r="M113" i="8" s="1"/>
  <c r="N140" i="8"/>
  <c r="M140" i="8" s="1"/>
  <c r="M141" i="8" s="1"/>
  <c r="N191" i="8"/>
  <c r="M191" i="8" s="1"/>
  <c r="D92" i="34"/>
  <c r="AB92" i="34" s="1"/>
  <c r="N86" i="8"/>
  <c r="M86" i="8" s="1"/>
  <c r="N46" i="8"/>
  <c r="M46" i="8" s="1"/>
  <c r="D62" i="34"/>
  <c r="N165" i="8"/>
  <c r="M165" i="8" s="1"/>
  <c r="D64" i="34"/>
  <c r="D43" i="34"/>
  <c r="T43" i="34" s="1"/>
  <c r="N96" i="8"/>
  <c r="M96" i="8" s="1"/>
  <c r="M97" i="8" s="1"/>
  <c r="N114" i="8"/>
  <c r="M114" i="8" s="1"/>
  <c r="N115" i="8"/>
  <c r="M115" i="8" s="1"/>
  <c r="N134" i="8"/>
  <c r="M134" i="8" s="1"/>
  <c r="N186" i="8"/>
  <c r="M186" i="8" s="1"/>
  <c r="N110" i="8"/>
  <c r="M110" i="8" s="1"/>
  <c r="N85" i="8"/>
  <c r="M85" i="8" s="1"/>
  <c r="N220" i="8"/>
  <c r="M220" i="8" s="1"/>
  <c r="N41" i="8"/>
  <c r="M41" i="8" s="1"/>
  <c r="N259" i="8"/>
  <c r="M259" i="8" s="1"/>
  <c r="M262" i="8" s="1"/>
  <c r="N59" i="8"/>
  <c r="D63" i="34"/>
  <c r="N266" i="8"/>
  <c r="M266" i="8" s="1"/>
  <c r="N36" i="8"/>
  <c r="M36" i="8" s="1"/>
  <c r="N127" i="8"/>
  <c r="M127" i="8" s="1"/>
  <c r="M128" i="8" s="1"/>
  <c r="D83" i="34"/>
  <c r="N51" i="8"/>
  <c r="M51" i="8" s="1"/>
  <c r="D15" i="34"/>
  <c r="AB15" i="34" s="1"/>
  <c r="D61" i="34"/>
  <c r="N37" i="8"/>
  <c r="M37" i="8" s="1"/>
  <c r="N106" i="8"/>
  <c r="M106" i="8" s="1"/>
  <c r="N216" i="8"/>
  <c r="M216" i="8" s="1"/>
  <c r="D91" i="34"/>
  <c r="AB91" i="34" s="1"/>
  <c r="N197" i="8"/>
  <c r="M197" i="8" s="1"/>
  <c r="N67" i="8"/>
  <c r="N44" i="8"/>
  <c r="M44" i="8" s="1"/>
  <c r="N215" i="8"/>
  <c r="M215" i="8" s="1"/>
  <c r="D16" i="34"/>
  <c r="N167" i="8"/>
  <c r="M167" i="8" s="1"/>
  <c r="N226" i="8"/>
  <c r="M226" i="8" s="1"/>
  <c r="N150" i="8"/>
  <c r="M150" i="8" s="1"/>
  <c r="N212" i="8"/>
  <c r="M212" i="8" s="1"/>
  <c r="N116" i="8"/>
  <c r="M116" i="8" s="1"/>
  <c r="N81" i="8"/>
  <c r="M81" i="8" s="1"/>
  <c r="N176" i="8"/>
  <c r="M176" i="8" s="1"/>
  <c r="D97" i="34"/>
  <c r="E89" i="34"/>
  <c r="M134" i="7" s="1"/>
  <c r="D45" i="34"/>
  <c r="T45" i="34" s="1"/>
  <c r="N166" i="8"/>
  <c r="M166" i="8" s="1"/>
  <c r="E82" i="34"/>
  <c r="AB82" i="34" s="1"/>
  <c r="D17" i="34"/>
  <c r="AB17" i="34" s="1"/>
  <c r="N54" i="8"/>
  <c r="M54" i="8" s="1"/>
  <c r="N187" i="8"/>
  <c r="M187" i="8" s="1"/>
  <c r="D31" i="34"/>
  <c r="D78" i="34"/>
  <c r="AB78" i="34" s="1"/>
  <c r="N101" i="8"/>
  <c r="M101" i="8" s="1"/>
  <c r="D67" i="34"/>
  <c r="D39" i="34"/>
  <c r="AB39" i="34" s="1"/>
  <c r="N53" i="8"/>
  <c r="M53" i="8" s="1"/>
  <c r="D77" i="34"/>
  <c r="N181" i="8"/>
  <c r="M181" i="8" s="1"/>
  <c r="N88" i="8"/>
  <c r="M88" i="8" s="1"/>
  <c r="N267" i="8"/>
  <c r="M267" i="8" s="1"/>
  <c r="N89" i="8"/>
  <c r="M89" i="8" s="1"/>
  <c r="N192" i="8"/>
  <c r="M192" i="8" s="1"/>
  <c r="D22" i="34"/>
  <c r="N177" i="8"/>
  <c r="M177" i="8" s="1"/>
  <c r="N162" i="8"/>
  <c r="M162" i="8" s="1"/>
  <c r="N131" i="8"/>
  <c r="M131" i="8" s="1"/>
  <c r="N268" i="8"/>
  <c r="M268" i="8" s="1"/>
  <c r="D48" i="34"/>
  <c r="N269" i="8"/>
  <c r="M269" i="8" s="1"/>
  <c r="N144" i="8"/>
  <c r="N145" i="8" s="1"/>
  <c r="D19" i="34"/>
  <c r="AB19" i="34" s="1"/>
  <c r="E98" i="34"/>
  <c r="N135" i="8"/>
  <c r="M135" i="8" s="1"/>
  <c r="N171" i="8"/>
  <c r="M171" i="8" s="1"/>
  <c r="D40" i="34"/>
  <c r="N79" i="8"/>
  <c r="M79" i="8" s="1"/>
  <c r="N82" i="8"/>
  <c r="M82" i="8" s="1"/>
  <c r="D47" i="34"/>
  <c r="D89" i="34"/>
  <c r="AB89" i="34" s="1"/>
  <c r="N43" i="8"/>
  <c r="M43" i="8" s="1"/>
  <c r="D65" i="34"/>
  <c r="AB65" i="34" s="1"/>
  <c r="N217" i="8"/>
  <c r="M217" i="8" s="1"/>
  <c r="N74" i="8"/>
  <c r="M74" i="8" s="1"/>
  <c r="N111" i="8"/>
  <c r="M111" i="8" s="1"/>
  <c r="D37" i="34"/>
  <c r="N155" i="8"/>
  <c r="M155" i="8" s="1"/>
  <c r="N172" i="8"/>
  <c r="M172" i="8" s="1"/>
  <c r="N219" i="8"/>
  <c r="M219" i="8" s="1"/>
  <c r="D90" i="34"/>
  <c r="AB90" i="34" s="1"/>
  <c r="N196" i="8"/>
  <c r="M196" i="8" s="1"/>
  <c r="N204" i="8"/>
  <c r="M204" i="8" s="1"/>
  <c r="M206" i="8" s="1"/>
  <c r="N161" i="8"/>
  <c r="M161" i="8" s="1"/>
  <c r="N151" i="8"/>
  <c r="M151" i="8" s="1"/>
  <c r="D14" i="34"/>
  <c r="AB14" i="34" s="1"/>
  <c r="N49" i="8"/>
  <c r="M49" i="8" s="1"/>
  <c r="N62" i="8"/>
  <c r="D44" i="34"/>
  <c r="M64" i="7" s="1"/>
  <c r="D55" i="34"/>
  <c r="N193" i="8"/>
  <c r="M193" i="8" s="1"/>
  <c r="N170" i="8"/>
  <c r="M170" i="8" s="1"/>
  <c r="D74" i="34"/>
  <c r="N83" i="8"/>
  <c r="M83" i="8" s="1"/>
  <c r="N71" i="8"/>
  <c r="M71" i="8" s="1"/>
  <c r="N66" i="8"/>
  <c r="N108" i="8"/>
  <c r="M108" i="8" s="1"/>
  <c r="N42" i="8"/>
  <c r="M42" i="8" s="1"/>
  <c r="D59" i="34"/>
  <c r="N156" i="8"/>
  <c r="M156" i="8" s="1"/>
  <c r="D42" i="34"/>
  <c r="AB42" i="34" s="1"/>
  <c r="N58" i="8"/>
  <c r="D49" i="34"/>
  <c r="AB49" i="34" s="1"/>
  <c r="N190" i="8"/>
  <c r="M190" i="8" s="1"/>
  <c r="D32" i="34"/>
  <c r="N168" i="8"/>
  <c r="M168" i="8" s="1"/>
  <c r="N222" i="8"/>
  <c r="M222" i="8" s="1"/>
  <c r="D73" i="34"/>
  <c r="T103" i="34"/>
  <c r="T68" i="34"/>
  <c r="N87" i="8"/>
  <c r="M87" i="8" s="1"/>
  <c r="D52" i="34"/>
  <c r="AB52" i="34" s="1"/>
  <c r="N211" i="8"/>
  <c r="M211" i="8" s="1"/>
  <c r="N133" i="8"/>
  <c r="M133" i="8" s="1"/>
  <c r="N47" i="8"/>
  <c r="M47" i="8" s="1"/>
  <c r="N119" i="8"/>
  <c r="M119" i="8" s="1"/>
  <c r="D56" i="34"/>
  <c r="N80" i="8"/>
  <c r="M80" i="8" s="1"/>
  <c r="D75" i="34"/>
  <c r="N122" i="8"/>
  <c r="M122" i="8" s="1"/>
  <c r="D53" i="34"/>
  <c r="AB53" i="34" s="1"/>
  <c r="D38" i="34"/>
  <c r="N52" i="8"/>
  <c r="M52" i="8" s="1"/>
  <c r="D46" i="34"/>
  <c r="N117" i="8"/>
  <c r="M117" i="8" s="1"/>
  <c r="N188" i="8"/>
  <c r="M188" i="8" s="1"/>
  <c r="D29" i="34"/>
  <c r="M231" i="8"/>
  <c r="M232" i="8" s="1"/>
  <c r="N232" i="8"/>
  <c r="E108" i="34"/>
  <c r="D34" i="34"/>
  <c r="L272" i="8"/>
  <c r="M28" i="7"/>
  <c r="AN118" i="33"/>
  <c r="E118" i="34"/>
  <c r="AB118" i="34" s="1"/>
  <c r="M44" i="7"/>
  <c r="T33" i="34"/>
  <c r="M92" i="7"/>
  <c r="T15" i="34"/>
  <c r="M84" i="7"/>
  <c r="T12" i="34"/>
  <c r="M237" i="8"/>
  <c r="M59" i="7"/>
  <c r="M55" i="7"/>
  <c r="M29" i="8"/>
  <c r="L31" i="8"/>
  <c r="E120" i="34"/>
  <c r="L76" i="8"/>
  <c r="L92" i="8" s="1"/>
  <c r="AO278" i="33"/>
  <c r="G279" i="33"/>
  <c r="M18" i="8"/>
  <c r="AA22" i="33"/>
  <c r="AA15" i="33"/>
  <c r="M23" i="8"/>
  <c r="G286" i="33"/>
  <c r="N7" i="33"/>
  <c r="I278" i="33"/>
  <c r="AA134" i="33"/>
  <c r="L201" i="8"/>
  <c r="K283" i="33"/>
  <c r="N283" i="33" s="1"/>
  <c r="Z262" i="33"/>
  <c r="AD262" i="33" s="1"/>
  <c r="E279" i="33"/>
  <c r="AF279" i="33" s="1"/>
  <c r="AF278" i="33"/>
  <c r="H278" i="33"/>
  <c r="G282" i="33"/>
  <c r="F282" i="33"/>
  <c r="J278" i="33"/>
  <c r="J279" i="33" s="1"/>
  <c r="Y262" i="33"/>
  <c r="M62" i="7" l="1"/>
  <c r="T39" i="34"/>
  <c r="T19" i="34"/>
  <c r="M236" i="7"/>
  <c r="M238" i="7" s="1"/>
  <c r="AB120" i="34"/>
  <c r="M88" i="7"/>
  <c r="AB55" i="34"/>
  <c r="T41" i="34"/>
  <c r="AB41" i="34"/>
  <c r="M41" i="7"/>
  <c r="AB31" i="34"/>
  <c r="T36" i="34"/>
  <c r="AB36" i="34"/>
  <c r="T22" i="34"/>
  <c r="AB22" i="34"/>
  <c r="T16" i="34"/>
  <c r="AB16" i="34"/>
  <c r="M91" i="7"/>
  <c r="K91" i="7" s="1"/>
  <c r="AB79" i="34"/>
  <c r="T56" i="34"/>
  <c r="AB56" i="34"/>
  <c r="M85" i="7"/>
  <c r="AB34" i="34"/>
  <c r="M113" i="7"/>
  <c r="AB59" i="34"/>
  <c r="T40" i="34"/>
  <c r="AB40" i="34"/>
  <c r="M169" i="7"/>
  <c r="AB97" i="34"/>
  <c r="M121" i="7"/>
  <c r="AB61" i="34"/>
  <c r="M159" i="7"/>
  <c r="K159" i="7" s="1"/>
  <c r="AB63" i="34"/>
  <c r="T32" i="34"/>
  <c r="AB32" i="34"/>
  <c r="M70" i="7"/>
  <c r="AB47" i="34"/>
  <c r="T63" i="34"/>
  <c r="T17" i="34"/>
  <c r="T77" i="34"/>
  <c r="AB77" i="34"/>
  <c r="U52" i="34"/>
  <c r="AB12" i="34"/>
  <c r="M65" i="7"/>
  <c r="AB45" i="34"/>
  <c r="T42" i="34"/>
  <c r="M193" i="7"/>
  <c r="AB98" i="34"/>
  <c r="T31" i="34"/>
  <c r="M39" i="7"/>
  <c r="AB29" i="34"/>
  <c r="T83" i="34"/>
  <c r="AB83" i="34"/>
  <c r="M63" i="7"/>
  <c r="AB43" i="34"/>
  <c r="T75" i="34"/>
  <c r="AB75" i="34"/>
  <c r="M130" i="7"/>
  <c r="AB67" i="34"/>
  <c r="M172" i="7"/>
  <c r="AB64" i="34"/>
  <c r="T38" i="34"/>
  <c r="AB38" i="34"/>
  <c r="M18" i="7"/>
  <c r="T14" i="34"/>
  <c r="M164" i="7"/>
  <c r="M166" i="7" s="1"/>
  <c r="AB74" i="34"/>
  <c r="M54" i="7"/>
  <c r="AB37" i="34"/>
  <c r="T44" i="34"/>
  <c r="AB44" i="34"/>
  <c r="T108" i="34"/>
  <c r="AB108" i="34"/>
  <c r="M69" i="7"/>
  <c r="AB46" i="34"/>
  <c r="M150" i="7"/>
  <c r="AB73" i="34"/>
  <c r="T48" i="34"/>
  <c r="AB48" i="34"/>
  <c r="M155" i="7"/>
  <c r="AB62" i="34"/>
  <c r="N206" i="8"/>
  <c r="M60" i="7"/>
  <c r="T92" i="34"/>
  <c r="T55" i="34"/>
  <c r="M48" i="7"/>
  <c r="M34" i="7"/>
  <c r="T98" i="34"/>
  <c r="M270" i="8"/>
  <c r="M272" i="8" s="1"/>
  <c r="M158" i="8"/>
  <c r="M38" i="8"/>
  <c r="T52" i="34"/>
  <c r="M68" i="7"/>
  <c r="T97" i="34"/>
  <c r="T61" i="34"/>
  <c r="T73" i="34"/>
  <c r="T47" i="34"/>
  <c r="M35" i="7"/>
  <c r="M72" i="7"/>
  <c r="T91" i="34"/>
  <c r="T82" i="34"/>
  <c r="T54" i="34"/>
  <c r="M117" i="7"/>
  <c r="M178" i="8"/>
  <c r="M61" i="7"/>
  <c r="T90" i="34"/>
  <c r="T65" i="34"/>
  <c r="M124" i="7"/>
  <c r="M136" i="8"/>
  <c r="M207" i="7"/>
  <c r="M228" i="8"/>
  <c r="M249" i="8" s="1"/>
  <c r="T49" i="34"/>
  <c r="M71" i="7"/>
  <c r="T64" i="34"/>
  <c r="N228" i="8"/>
  <c r="T51" i="34"/>
  <c r="M78" i="7"/>
  <c r="M75" i="7"/>
  <c r="M144" i="8"/>
  <c r="M145" i="8" s="1"/>
  <c r="M152" i="8"/>
  <c r="T67" i="34"/>
  <c r="M102" i="8"/>
  <c r="M56" i="7"/>
  <c r="M19" i="7"/>
  <c r="T29" i="34"/>
  <c r="D269" i="34"/>
  <c r="M177" i="7"/>
  <c r="T26" i="34"/>
  <c r="M123" i="8"/>
  <c r="M90" i="8"/>
  <c r="M55" i="8"/>
  <c r="M173" i="8"/>
  <c r="M198" i="8"/>
  <c r="M25" i="7"/>
  <c r="M15" i="7"/>
  <c r="M101" i="7"/>
  <c r="T74" i="34"/>
  <c r="J5" i="34"/>
  <c r="T79" i="34"/>
  <c r="T78" i="34"/>
  <c r="M90" i="7"/>
  <c r="T89" i="34"/>
  <c r="J6" i="34"/>
  <c r="T37" i="34"/>
  <c r="T46" i="34"/>
  <c r="T53" i="34"/>
  <c r="M73" i="7"/>
  <c r="T62" i="34"/>
  <c r="T34" i="34"/>
  <c r="T59" i="34"/>
  <c r="M222" i="7"/>
  <c r="T118" i="34"/>
  <c r="I279" i="33"/>
  <c r="L252" i="8"/>
  <c r="L254" i="8" s="1"/>
  <c r="L283" i="8" s="1"/>
  <c r="AE120" i="34"/>
  <c r="E269" i="34"/>
  <c r="T120" i="34"/>
  <c r="AA23" i="33"/>
  <c r="M31" i="8"/>
  <c r="AB269" i="34" l="1"/>
  <c r="AB270" i="34" s="1"/>
  <c r="J7" i="34"/>
  <c r="M201" i="8"/>
  <c r="T269" i="34"/>
  <c r="T270" i="34" s="1"/>
  <c r="L285" i="8"/>
  <c r="L284" i="8"/>
  <c r="E271" i="34"/>
  <c r="O131" i="7" l="1"/>
  <c r="G113" i="7" l="1"/>
  <c r="G114" i="7"/>
  <c r="G116" i="7"/>
  <c r="G117" i="7"/>
  <c r="G124" i="7"/>
  <c r="G125" i="7"/>
  <c r="G127" i="7"/>
  <c r="G128" i="7"/>
  <c r="G130" i="7"/>
  <c r="G131" i="7"/>
  <c r="G133" i="7"/>
  <c r="G134" i="7"/>
  <c r="G136" i="7"/>
  <c r="G137" i="7"/>
  <c r="G139" i="7"/>
  <c r="G140" i="7"/>
  <c r="G142" i="7"/>
  <c r="G143" i="7"/>
  <c r="G145" i="7"/>
  <c r="G146" i="7"/>
  <c r="G150" i="7"/>
  <c r="G151" i="7"/>
  <c r="G155" i="7"/>
  <c r="G156" i="7"/>
  <c r="E100" i="22" l="1"/>
  <c r="E98" i="21" s="1"/>
  <c r="N237" i="8" l="1"/>
  <c r="N249" i="8" s="1"/>
  <c r="H19" i="15" l="1"/>
  <c r="T233" i="8"/>
  <c r="F258" i="21" l="1"/>
  <c r="F215" i="21"/>
  <c r="F209" i="21"/>
  <c r="F191" i="21"/>
  <c r="F179" i="21"/>
  <c r="F149" i="21"/>
  <c r="F143" i="21"/>
  <c r="F131" i="21"/>
  <c r="F272" i="21"/>
  <c r="F265" i="21"/>
  <c r="F259" i="21"/>
  <c r="F246" i="21"/>
  <c r="F240" i="21"/>
  <c r="F234" i="21"/>
  <c r="F228" i="21"/>
  <c r="F222" i="21"/>
  <c r="F216" i="21"/>
  <c r="F210" i="21"/>
  <c r="F204" i="21"/>
  <c r="F198" i="21"/>
  <c r="F192" i="21"/>
  <c r="F186" i="21"/>
  <c r="F180" i="21"/>
  <c r="F174" i="21"/>
  <c r="F168" i="21"/>
  <c r="F162" i="21"/>
  <c r="F156" i="21"/>
  <c r="F150" i="21"/>
  <c r="F144" i="21"/>
  <c r="F138" i="21"/>
  <c r="F132" i="21"/>
  <c r="F126" i="21"/>
  <c r="F233" i="21"/>
  <c r="F185" i="21"/>
  <c r="F173" i="21"/>
  <c r="F161" i="21"/>
  <c r="F270" i="21"/>
  <c r="F244" i="21"/>
  <c r="F220" i="21"/>
  <c r="F202" i="21"/>
  <c r="F184" i="21"/>
  <c r="F166" i="21"/>
  <c r="F154" i="21"/>
  <c r="F136" i="21"/>
  <c r="F263" i="21"/>
  <c r="F238" i="21"/>
  <c r="F214" i="21"/>
  <c r="F190" i="21"/>
  <c r="F178" i="21"/>
  <c r="F160" i="21"/>
  <c r="F142" i="21"/>
  <c r="F124" i="21"/>
  <c r="F257" i="21"/>
  <c r="F226" i="21"/>
  <c r="F196" i="21"/>
  <c r="F130" i="21"/>
  <c r="F232" i="21"/>
  <c r="F208" i="21"/>
  <c r="F172" i="21"/>
  <c r="F148" i="21"/>
  <c r="F268" i="21"/>
  <c r="F243" i="21"/>
  <c r="F219" i="21"/>
  <c r="F195" i="21"/>
  <c r="F171" i="21"/>
  <c r="F147" i="21"/>
  <c r="F123" i="21"/>
  <c r="F248" i="21"/>
  <c r="F224" i="21"/>
  <c r="F200" i="21"/>
  <c r="F176" i="21"/>
  <c r="F152" i="21"/>
  <c r="F134" i="21"/>
  <c r="F266" i="21"/>
  <c r="F223" i="21"/>
  <c r="F199" i="21"/>
  <c r="F175" i="21"/>
  <c r="F151" i="21"/>
  <c r="F127" i="21"/>
  <c r="F189" i="21"/>
  <c r="F159" i="21"/>
  <c r="F135" i="21"/>
  <c r="F261" i="21"/>
  <c r="F236" i="21"/>
  <c r="F212" i="21"/>
  <c r="F182" i="21"/>
  <c r="F158" i="21"/>
  <c r="F128" i="21"/>
  <c r="F247" i="21"/>
  <c r="F217" i="21"/>
  <c r="F193" i="21"/>
  <c r="F169" i="21"/>
  <c r="F145" i="21"/>
  <c r="F225" i="21"/>
  <c r="F201" i="21"/>
  <c r="F177" i="21"/>
  <c r="F153" i="21"/>
  <c r="F267" i="21"/>
  <c r="F242" i="21"/>
  <c r="F218" i="21"/>
  <c r="F194" i="21"/>
  <c r="F170" i="21"/>
  <c r="F146" i="21"/>
  <c r="F260" i="21"/>
  <c r="F235" i="21"/>
  <c r="F211" i="21"/>
  <c r="F187" i="21"/>
  <c r="F163" i="21"/>
  <c r="F139" i="21"/>
  <c r="F256" i="21"/>
  <c r="F231" i="21"/>
  <c r="F207" i="21"/>
  <c r="F183" i="21"/>
  <c r="F165" i="21"/>
  <c r="F255" i="21"/>
  <c r="F230" i="21"/>
  <c r="F206" i="21"/>
  <c r="F188" i="21"/>
  <c r="F164" i="21"/>
  <c r="F140" i="21"/>
  <c r="F273" i="21"/>
  <c r="F181" i="21"/>
  <c r="F157" i="21"/>
  <c r="F133" i="21"/>
  <c r="F264" i="21"/>
  <c r="F239" i="21"/>
  <c r="F227" i="21"/>
  <c r="F203" i="21"/>
  <c r="F197" i="21"/>
  <c r="F167" i="21"/>
  <c r="F155" i="21"/>
  <c r="F125" i="21"/>
  <c r="F249" i="21"/>
  <c r="F241" i="21"/>
  <c r="F137" i="21"/>
  <c r="F129" i="21"/>
  <c r="F271" i="21"/>
  <c r="F262" i="21"/>
  <c r="F254" i="21"/>
  <c r="F245" i="21"/>
  <c r="F237" i="21"/>
  <c r="F229" i="21"/>
  <c r="F221" i="21"/>
  <c r="F213" i="21"/>
  <c r="F205" i="21"/>
  <c r="F141" i="21"/>
  <c r="F277" i="22" l="1"/>
  <c r="E194" i="22" l="1"/>
  <c r="AB14" i="6" l="1"/>
  <c r="AA14" i="6" l="1"/>
  <c r="Z14" i="6" l="1"/>
  <c r="AC14" i="6" s="1"/>
  <c r="E195" i="22" l="1"/>
  <c r="Y14" i="6" l="1"/>
  <c r="X14" i="6" l="1"/>
  <c r="W14" i="6" l="1"/>
  <c r="E220" i="22" l="1"/>
  <c r="E275" i="22" l="1"/>
  <c r="E276" i="22"/>
  <c r="E274" i="22"/>
  <c r="E272" i="22"/>
  <c r="E251" i="22"/>
  <c r="E269" i="22"/>
  <c r="E266" i="22"/>
  <c r="E265" i="22"/>
  <c r="E264" i="22"/>
  <c r="E263" i="22"/>
  <c r="E262" i="22"/>
  <c r="E261" i="22"/>
  <c r="E260" i="22"/>
  <c r="E259" i="22"/>
  <c r="E258" i="22"/>
  <c r="E257" i="22"/>
  <c r="E268" i="22"/>
  <c r="E267" i="22"/>
  <c r="E256" i="22"/>
  <c r="E255" i="22"/>
  <c r="E254" i="22"/>
  <c r="E270" i="22"/>
  <c r="E236" i="22"/>
  <c r="E235" i="22"/>
  <c r="E234" i="22"/>
  <c r="E209" i="22"/>
  <c r="E252" i="22"/>
  <c r="E233" i="22"/>
  <c r="E232" i="22"/>
  <c r="E231" i="22"/>
  <c r="E230" i="22"/>
  <c r="E229" i="22"/>
  <c r="E250" i="22"/>
  <c r="E228" i="22"/>
  <c r="E225" i="22"/>
  <c r="E224" i="22"/>
  <c r="E223" i="22"/>
  <c r="E222" i="22"/>
  <c r="E221" i="22"/>
  <c r="E226" i="22"/>
  <c r="E227" i="22"/>
  <c r="E219" i="22"/>
  <c r="E218" i="22"/>
  <c r="E217" i="22"/>
  <c r="E216" i="22"/>
  <c r="E213" i="22"/>
  <c r="E215" i="22"/>
  <c r="E214" i="22"/>
  <c r="E212" i="22"/>
  <c r="E211" i="22"/>
  <c r="E210" i="22"/>
  <c r="E249" i="22"/>
  <c r="E248" i="22"/>
  <c r="E246" i="22"/>
  <c r="E245" i="22"/>
  <c r="E244" i="22"/>
  <c r="E243" i="22"/>
  <c r="E242" i="22"/>
  <c r="E241" i="22"/>
  <c r="E240" i="22"/>
  <c r="E239" i="22"/>
  <c r="E238" i="22"/>
  <c r="E237" i="22"/>
  <c r="E207" i="22"/>
  <c r="E208" i="22"/>
  <c r="E206" i="22"/>
  <c r="E247" i="22"/>
  <c r="E205" i="22"/>
  <c r="E204" i="22"/>
  <c r="E202" i="22"/>
  <c r="E203" i="22"/>
  <c r="E201" i="22"/>
  <c r="E200" i="22"/>
  <c r="E199" i="22"/>
  <c r="E197" i="22"/>
  <c r="E196" i="22"/>
  <c r="E193" i="22"/>
  <c r="E189" i="22"/>
  <c r="E191" i="22"/>
  <c r="E192" i="22"/>
  <c r="E190" i="22"/>
  <c r="E198" i="22"/>
  <c r="E188" i="22"/>
  <c r="E187" i="22"/>
  <c r="E186" i="22"/>
  <c r="E185" i="22"/>
  <c r="E184" i="22"/>
  <c r="E183" i="22"/>
  <c r="E182" i="22"/>
  <c r="E181" i="22"/>
  <c r="E180" i="22"/>
  <c r="E179" i="22"/>
  <c r="E178" i="22"/>
  <c r="E177" i="22"/>
  <c r="E175" i="22"/>
  <c r="E174" i="22"/>
  <c r="E176" i="22"/>
  <c r="E173" i="22"/>
  <c r="E172" i="22"/>
  <c r="E171" i="22"/>
  <c r="E170" i="22"/>
  <c r="E169" i="22"/>
  <c r="E168" i="22"/>
  <c r="E167" i="22"/>
  <c r="E160" i="22"/>
  <c r="E161" i="22"/>
  <c r="E159" i="22"/>
  <c r="E158" i="22"/>
  <c r="E166" i="22"/>
  <c r="E165" i="22"/>
  <c r="E164" i="22"/>
  <c r="E163" i="22"/>
  <c r="E162" i="22"/>
  <c r="E153" i="22"/>
  <c r="E156" i="22"/>
  <c r="E152" i="22"/>
  <c r="E151" i="22"/>
  <c r="E150" i="22"/>
  <c r="E149" i="22"/>
  <c r="E148" i="22"/>
  <c r="E147" i="22"/>
  <c r="E146" i="22"/>
  <c r="E145" i="22"/>
  <c r="E157" i="22"/>
  <c r="E155" i="22"/>
  <c r="E154" i="22"/>
  <c r="E144" i="22"/>
  <c r="E143" i="22"/>
  <c r="E142" i="22"/>
  <c r="E87" i="22"/>
  <c r="E84" i="21" s="1"/>
  <c r="E98" i="22"/>
  <c r="E96" i="21" s="1"/>
  <c r="E97" i="22"/>
  <c r="E95" i="21" s="1"/>
  <c r="E96" i="22"/>
  <c r="E94" i="21" s="1"/>
  <c r="E95" i="22"/>
  <c r="E93" i="21" s="1"/>
  <c r="E90" i="22"/>
  <c r="E88" i="21" s="1"/>
  <c r="E88" i="22"/>
  <c r="E85" i="21" s="1"/>
  <c r="E77" i="22"/>
  <c r="E77" i="21" s="1"/>
  <c r="E75" i="22"/>
  <c r="E75" i="21" s="1"/>
  <c r="E73" i="22"/>
  <c r="E73" i="21" s="1"/>
  <c r="E71" i="22"/>
  <c r="E71" i="21" s="1"/>
  <c r="E69" i="22"/>
  <c r="E69" i="21" s="1"/>
  <c r="E67" i="22"/>
  <c r="E67" i="21" s="1"/>
  <c r="E65" i="22"/>
  <c r="E65" i="21" s="1"/>
  <c r="E63" i="22"/>
  <c r="E63" i="21" s="1"/>
  <c r="E61" i="22"/>
  <c r="E61" i="21" s="1"/>
  <c r="E84" i="22"/>
  <c r="E82" i="21" s="1"/>
  <c r="E83" i="22"/>
  <c r="E81" i="21" s="1"/>
  <c r="E80" i="22"/>
  <c r="E79" i="21" s="1"/>
  <c r="E59" i="22"/>
  <c r="E59" i="21" s="1"/>
  <c r="E57" i="22"/>
  <c r="E57" i="21" s="1"/>
  <c r="E55" i="22"/>
  <c r="E55" i="21" s="1"/>
  <c r="E53" i="22"/>
  <c r="E53" i="21" s="1"/>
  <c r="E52" i="22"/>
  <c r="E52" i="21" s="1"/>
  <c r="E22" i="22"/>
  <c r="E22" i="21" s="1"/>
  <c r="E99" i="22"/>
  <c r="E97" i="21" s="1"/>
  <c r="E46" i="22"/>
  <c r="E46" i="21" s="1"/>
  <c r="E51" i="22"/>
  <c r="E51" i="21" s="1"/>
  <c r="E50" i="22"/>
  <c r="E50" i="21" s="1"/>
  <c r="E49" i="22"/>
  <c r="E49" i="21" s="1"/>
  <c r="E48" i="22"/>
  <c r="E48" i="21" s="1"/>
  <c r="E47" i="22"/>
  <c r="E47" i="21" s="1"/>
  <c r="E45" i="22"/>
  <c r="E45" i="21" s="1"/>
  <c r="E44" i="22"/>
  <c r="E44" i="21" s="1"/>
  <c r="E43" i="22"/>
  <c r="E43" i="21" s="1"/>
  <c r="E41" i="22"/>
  <c r="E41" i="21" s="1"/>
  <c r="E42" i="22"/>
  <c r="E42" i="21" s="1"/>
  <c r="E40" i="22"/>
  <c r="E40" i="21" s="1"/>
  <c r="E39" i="22"/>
  <c r="E39" i="21" s="1"/>
  <c r="E38" i="22"/>
  <c r="E38" i="21" s="1"/>
  <c r="E37" i="22"/>
  <c r="E37" i="21" s="1"/>
  <c r="E36" i="22"/>
  <c r="E36" i="21" s="1"/>
  <c r="E34" i="22"/>
  <c r="E34" i="21" s="1"/>
  <c r="E33" i="22"/>
  <c r="E33" i="21" s="1"/>
  <c r="E35" i="22"/>
  <c r="E35" i="21" s="1"/>
  <c r="E32" i="22"/>
  <c r="E32" i="21" s="1"/>
  <c r="E94" i="22"/>
  <c r="E92" i="21" s="1"/>
  <c r="E28" i="22"/>
  <c r="E28" i="21" s="1"/>
  <c r="E31" i="22"/>
  <c r="E31" i="21" s="1"/>
  <c r="E27" i="22"/>
  <c r="E27" i="21" s="1"/>
  <c r="E26" i="22"/>
  <c r="E26" i="21" s="1"/>
  <c r="E25" i="22"/>
  <c r="E25" i="21" s="1"/>
  <c r="E20" i="22"/>
  <c r="E20" i="21" s="1"/>
  <c r="E19" i="22"/>
  <c r="E19" i="21" s="1"/>
  <c r="E18" i="22"/>
  <c r="E18" i="21" s="1"/>
  <c r="E16" i="22"/>
  <c r="E16" i="21" s="1"/>
  <c r="E15" i="22"/>
  <c r="E15" i="21" s="1"/>
  <c r="E24" i="22"/>
  <c r="E24" i="21" s="1"/>
  <c r="E30" i="22"/>
  <c r="E30" i="21" s="1"/>
  <c r="E29" i="22"/>
  <c r="E29" i="21" s="1"/>
  <c r="E23" i="22"/>
  <c r="E23" i="21" s="1"/>
  <c r="E14" i="22"/>
  <c r="E14" i="21" s="1"/>
  <c r="E13" i="22"/>
  <c r="E13" i="21" s="1"/>
  <c r="E12" i="22"/>
  <c r="E12" i="21" s="1"/>
  <c r="E17" i="22"/>
  <c r="E17" i="21" s="1"/>
  <c r="E11" i="22"/>
  <c r="E11" i="21" s="1"/>
  <c r="E93" i="22"/>
  <c r="E91" i="21" s="1"/>
  <c r="E92" i="22"/>
  <c r="E90" i="21" s="1"/>
  <c r="E10" i="22"/>
  <c r="E10" i="21" s="1"/>
  <c r="D141" i="22"/>
  <c r="D140" i="22"/>
  <c r="D133" i="22"/>
  <c r="D132" i="22"/>
  <c r="D131" i="22"/>
  <c r="D130" i="22"/>
  <c r="D129" i="22"/>
  <c r="D139" i="22"/>
  <c r="D138" i="22"/>
  <c r="D137" i="22"/>
  <c r="D136" i="22"/>
  <c r="D135" i="22"/>
  <c r="D134" i="22"/>
  <c r="D127" i="22"/>
  <c r="D126" i="22"/>
  <c r="D125" i="22"/>
  <c r="D128" i="22"/>
  <c r="D124" i="22"/>
  <c r="D122" i="21" s="1"/>
  <c r="D123" i="22"/>
  <c r="D121" i="21" s="1"/>
  <c r="D120" i="22"/>
  <c r="D118" i="21" s="1"/>
  <c r="D121" i="22"/>
  <c r="D119" i="21" s="1"/>
  <c r="D119" i="22"/>
  <c r="D117" i="21" s="1"/>
  <c r="D118" i="22"/>
  <c r="D116" i="21" s="1"/>
  <c r="D117" i="22"/>
  <c r="D115" i="21" s="1"/>
  <c r="D116" i="22"/>
  <c r="D114" i="21" s="1"/>
  <c r="D115" i="22"/>
  <c r="D113" i="21" s="1"/>
  <c r="D114" i="22"/>
  <c r="D112" i="21" s="1"/>
  <c r="D113" i="22"/>
  <c r="D111" i="21" s="1"/>
  <c r="D112" i="22"/>
  <c r="D110" i="21" s="1"/>
  <c r="D111" i="22"/>
  <c r="D109" i="21" s="1"/>
  <c r="D110" i="22"/>
  <c r="D108" i="21" s="1"/>
  <c r="D109" i="22"/>
  <c r="D107" i="21" s="1"/>
  <c r="D108" i="22"/>
  <c r="D106" i="21" s="1"/>
  <c r="D107" i="22"/>
  <c r="D105" i="21" s="1"/>
  <c r="D106" i="22"/>
  <c r="D104" i="21" s="1"/>
  <c r="D105" i="22"/>
  <c r="D103" i="21" s="1"/>
  <c r="D104" i="22"/>
  <c r="D102" i="21" s="1"/>
  <c r="D103" i="22"/>
  <c r="D101" i="21" s="1"/>
  <c r="D122" i="22"/>
  <c r="D120" i="21" s="1"/>
  <c r="D102" i="22"/>
  <c r="D100" i="21" s="1"/>
  <c r="D101" i="22"/>
  <c r="D99" i="21" s="1"/>
  <c r="D91" i="22"/>
  <c r="D89" i="21" s="1"/>
  <c r="D85" i="22"/>
  <c r="D87" i="21" s="1"/>
  <c r="D89" i="22"/>
  <c r="D86" i="21" s="1"/>
  <c r="D78" i="22"/>
  <c r="D79" i="22"/>
  <c r="D78" i="21" s="1"/>
  <c r="D76" i="22"/>
  <c r="D76" i="21" s="1"/>
  <c r="D74" i="22"/>
  <c r="D74" i="21" s="1"/>
  <c r="D72" i="22"/>
  <c r="D72" i="21" s="1"/>
  <c r="D70" i="22"/>
  <c r="D70" i="21" s="1"/>
  <c r="D68" i="22"/>
  <c r="D68" i="21" s="1"/>
  <c r="D66" i="22"/>
  <c r="D66" i="21" s="1"/>
  <c r="D64" i="22"/>
  <c r="D64" i="21" s="1"/>
  <c r="D62" i="22"/>
  <c r="D62" i="21" s="1"/>
  <c r="D86" i="22"/>
  <c r="D83" i="21" s="1"/>
  <c r="D81" i="22"/>
  <c r="D80" i="21" s="1"/>
  <c r="D58" i="22"/>
  <c r="D58" i="21" s="1"/>
  <c r="D56" i="22"/>
  <c r="D56" i="21" s="1"/>
  <c r="D54" i="22"/>
  <c r="D54" i="21" s="1"/>
  <c r="D21" i="22"/>
  <c r="D21" i="21" s="1"/>
  <c r="D60" i="22" l="1"/>
  <c r="D60" i="21" s="1"/>
  <c r="U178" i="8" l="1"/>
  <c r="R5" i="8" l="1"/>
  <c r="Q4" i="8" l="1"/>
  <c r="Q291" i="8" l="1"/>
  <c r="Q294" i="8" s="1"/>
  <c r="Q296" i="8" s="1"/>
  <c r="Q287" i="8"/>
  <c r="Q289" i="8" s="1"/>
  <c r="O127" i="7"/>
  <c r="Q298" i="8" l="1"/>
  <c r="P147" i="7"/>
  <c r="J15" i="6" l="1"/>
  <c r="P15" i="6" l="1"/>
  <c r="R223" i="8" l="1"/>
  <c r="O200" i="8" l="1"/>
  <c r="O202" i="8"/>
  <c r="O207" i="8"/>
  <c r="O253" i="8"/>
  <c r="O255" i="8"/>
  <c r="O257" i="8"/>
  <c r="O271" i="8"/>
  <c r="V14" i="6" l="1"/>
  <c r="U14" i="6" l="1"/>
  <c r="T14" i="6" l="1"/>
  <c r="O75" i="8" l="1"/>
  <c r="O78" i="8"/>
  <c r="O91" i="8"/>
  <c r="O93" i="8"/>
  <c r="O94" i="8"/>
  <c r="O95" i="8"/>
  <c r="O98" i="8"/>
  <c r="O99" i="8"/>
  <c r="O103" i="8"/>
  <c r="O104" i="8"/>
  <c r="O125" i="8"/>
  <c r="O129" i="8"/>
  <c r="O130" i="8"/>
  <c r="O137" i="8"/>
  <c r="O138" i="8"/>
  <c r="O142" i="8"/>
  <c r="O143" i="8"/>
  <c r="O146" i="8"/>
  <c r="O147" i="8"/>
  <c r="O153" i="8"/>
  <c r="O154" i="8"/>
  <c r="O159" i="8"/>
  <c r="O160" i="8"/>
  <c r="O174" i="8"/>
  <c r="O175" i="8"/>
  <c r="O179" i="8"/>
  <c r="O180" i="8"/>
  <c r="O182" i="8"/>
  <c r="O183" i="8"/>
  <c r="G23" i="15" l="1"/>
  <c r="Q25" i="6" l="1"/>
  <c r="O19" i="8" l="1"/>
  <c r="O20" i="8"/>
  <c r="O24" i="8"/>
  <c r="O25" i="8"/>
  <c r="O30" i="8"/>
  <c r="O32" i="8"/>
  <c r="O33" i="8"/>
  <c r="O34" i="8"/>
  <c r="O35" i="8"/>
  <c r="O39" i="8"/>
  <c r="O40" i="8"/>
  <c r="A5" i="6" l="1"/>
  <c r="A5" i="7" l="1"/>
  <c r="A5" i="16"/>
  <c r="A5" i="8"/>
  <c r="A5" i="15"/>
  <c r="A5" i="21"/>
  <c r="A5" i="22"/>
  <c r="V30" i="7"/>
  <c r="A4" i="8"/>
  <c r="A4" i="15"/>
  <c r="P88" i="7"/>
  <c r="A4" i="7"/>
  <c r="A4" i="6" s="1"/>
  <c r="A4" i="16"/>
  <c r="L15" i="6"/>
  <c r="L22" i="6" s="1"/>
  <c r="L23" i="6" s="1"/>
  <c r="O76" i="8" l="1"/>
  <c r="G160" i="7" l="1"/>
  <c r="G165" i="7"/>
  <c r="G159" i="7" l="1"/>
  <c r="G164" i="7"/>
  <c r="N141" i="8" l="1"/>
  <c r="N178" i="8"/>
  <c r="H18" i="15" l="1"/>
  <c r="N68" i="8"/>
  <c r="N90" i="8"/>
  <c r="N29" i="8"/>
  <c r="H11" i="15" s="1"/>
  <c r="N55" i="8"/>
  <c r="N23" i="8"/>
  <c r="H10" i="15" s="1"/>
  <c r="N18" i="8"/>
  <c r="N63" i="8"/>
  <c r="T181" i="8"/>
  <c r="N262" i="8"/>
  <c r="M123" i="7"/>
  <c r="H20" i="15"/>
  <c r="N76" i="8" l="1"/>
  <c r="H9" i="15"/>
  <c r="H13" i="15" s="1"/>
  <c r="N31" i="8"/>
  <c r="H14" i="15" l="1"/>
  <c r="T206" i="8"/>
  <c r="T178" i="8"/>
  <c r="T262" i="8" l="1"/>
  <c r="N102" i="8" l="1"/>
  <c r="N97" i="8"/>
  <c r="N158" i="8" l="1"/>
  <c r="N270" i="8" l="1"/>
  <c r="T270" i="8" l="1"/>
  <c r="N272" i="8"/>
  <c r="N38" i="8"/>
  <c r="N92" i="8" s="1"/>
  <c r="H16" i="15" s="1"/>
  <c r="H25" i="15" l="1"/>
  <c r="T272" i="8"/>
  <c r="N128" i="8" l="1"/>
  <c r="N173" i="8"/>
  <c r="N136" i="8"/>
  <c r="N123" i="8" l="1"/>
  <c r="N152" i="8" l="1"/>
  <c r="M221" i="7"/>
  <c r="M161" i="7" l="1"/>
  <c r="M163" i="7"/>
  <c r="M100" i="7" l="1"/>
  <c r="M215" i="7"/>
  <c r="K34" i="16" s="1"/>
  <c r="M33" i="7"/>
  <c r="N198" i="8" l="1"/>
  <c r="N201" i="8" l="1"/>
  <c r="N252" i="8" s="1"/>
  <c r="T201" i="8" l="1"/>
  <c r="P201" i="8"/>
  <c r="H17" i="15"/>
  <c r="H21" i="15" s="1"/>
  <c r="H23" i="15" s="1"/>
  <c r="H29" i="15" s="1"/>
  <c r="N254" i="8"/>
  <c r="N283" i="8" s="1"/>
  <c r="T252" i="8"/>
  <c r="N18" i="6" l="1"/>
  <c r="M18" i="6" s="1"/>
  <c r="Q254" i="8"/>
  <c r="T254" i="8"/>
  <c r="N284" i="8" l="1"/>
  <c r="N285" i="8"/>
  <c r="H30" i="15"/>
  <c r="Q201" i="8" l="1"/>
  <c r="N291" i="8" l="1"/>
  <c r="P284" i="8"/>
  <c r="P286" i="8"/>
  <c r="K48" i="16" l="1"/>
  <c r="K50" i="16" s="1"/>
  <c r="O233" i="8" l="1"/>
  <c r="AE238" i="7"/>
  <c r="K65" i="16"/>
  <c r="K61" i="16"/>
  <c r="J171" i="7" l="1"/>
  <c r="J94" i="7" l="1"/>
  <c r="J77" i="7" l="1"/>
  <c r="K27" i="7"/>
  <c r="K23" i="7"/>
  <c r="K26" i="7"/>
  <c r="J110" i="7"/>
  <c r="J107" i="7" s="1"/>
  <c r="J168" i="7"/>
  <c r="J43" i="7" l="1"/>
  <c r="J179" i="7"/>
  <c r="J176" i="7" s="1"/>
  <c r="J196" i="7"/>
  <c r="J157" i="7"/>
  <c r="J154" i="7" s="1"/>
  <c r="J132" i="7"/>
  <c r="J38" i="7"/>
  <c r="J17" i="7"/>
  <c r="J135" i="7" l="1"/>
  <c r="J22" i="7"/>
  <c r="J152" i="7"/>
  <c r="J149" i="7" s="1"/>
  <c r="J46" i="7"/>
  <c r="J67" i="7"/>
  <c r="J118" i="7"/>
  <c r="J112" i="7" s="1"/>
  <c r="J147" i="7"/>
  <c r="J58" i="7"/>
  <c r="J31" i="7"/>
  <c r="J141" i="7"/>
  <c r="J138" i="7"/>
  <c r="J144" i="7"/>
  <c r="J199" i="7"/>
  <c r="J224" i="7"/>
  <c r="J53" i="7"/>
  <c r="J51" i="7" s="1"/>
  <c r="J126" i="7"/>
  <c r="J87" i="7"/>
  <c r="J129" i="7"/>
  <c r="J100" i="7" l="1"/>
  <c r="K101" i="7"/>
  <c r="K100" i="7" s="1"/>
  <c r="J120" i="7"/>
  <c r="J103" i="7" s="1"/>
  <c r="J182" i="7" s="1"/>
  <c r="J82" i="7"/>
  <c r="J80" i="7" s="1"/>
  <c r="J191" i="7"/>
  <c r="J228" i="7" s="1"/>
  <c r="J13" i="7" l="1"/>
  <c r="J11" i="7" s="1"/>
  <c r="J97" i="7" s="1"/>
  <c r="J184" i="7" s="1"/>
  <c r="J230" i="7" s="1"/>
  <c r="M94" i="7" l="1"/>
  <c r="K95" i="7"/>
  <c r="K94" i="7" s="1"/>
  <c r="K124" i="7"/>
  <c r="K130" i="7"/>
  <c r="K177" i="7"/>
  <c r="K179" i="7" s="1"/>
  <c r="K176" i="7" s="1"/>
  <c r="K133" i="7"/>
  <c r="K88" i="7"/>
  <c r="K127" i="7"/>
  <c r="K169" i="7"/>
  <c r="K168" i="7" s="1"/>
  <c r="K92" i="7"/>
  <c r="K113" i="7"/>
  <c r="K136" i="7"/>
  <c r="K142" i="7"/>
  <c r="K56" i="7"/>
  <c r="K108" i="7"/>
  <c r="K90" i="7"/>
  <c r="K155" i="7"/>
  <c r="K60" i="7"/>
  <c r="K74" i="7"/>
  <c r="K65" i="7"/>
  <c r="K47" i="7"/>
  <c r="M43" i="7"/>
  <c r="K116" i="7"/>
  <c r="K25" i="7"/>
  <c r="K64" i="7"/>
  <c r="K40" i="7"/>
  <c r="K63" i="7"/>
  <c r="K75" i="7"/>
  <c r="K139" i="7"/>
  <c r="K89" i="7"/>
  <c r="K49" i="7"/>
  <c r="K48" i="7"/>
  <c r="K39" i="7"/>
  <c r="K145" i="7"/>
  <c r="K59" i="7"/>
  <c r="K85" i="7"/>
  <c r="K61" i="7"/>
  <c r="K46" i="7" l="1"/>
  <c r="K105" i="7"/>
  <c r="M17" i="7"/>
  <c r="K19" i="7"/>
  <c r="K17" i="7" s="1"/>
  <c r="M22" i="7"/>
  <c r="K24" i="7"/>
  <c r="K22" i="7" s="1"/>
  <c r="K87" i="7"/>
  <c r="M168" i="7"/>
  <c r="K19" i="16" s="1"/>
  <c r="M87" i="7"/>
  <c r="M46" i="7"/>
  <c r="K146" i="7"/>
  <c r="K147" i="7" s="1"/>
  <c r="K225" i="7"/>
  <c r="K224" i="7" s="1"/>
  <c r="K205" i="7"/>
  <c r="K209" i="7"/>
  <c r="K203" i="7"/>
  <c r="K211" i="7"/>
  <c r="K213" i="7"/>
  <c r="K206" i="7"/>
  <c r="K212" i="7"/>
  <c r="K201" i="7"/>
  <c r="K151" i="7"/>
  <c r="K200" i="7"/>
  <c r="K204" i="7"/>
  <c r="K150" i="7"/>
  <c r="K172" i="7"/>
  <c r="M135" i="7" l="1"/>
  <c r="K134" i="7"/>
  <c r="K135" i="7" s="1"/>
  <c r="K109" i="7"/>
  <c r="K110" i="7" s="1"/>
  <c r="K107" i="7" s="1"/>
  <c r="K117" i="7"/>
  <c r="K118" i="7" s="1"/>
  <c r="K114" i="7"/>
  <c r="K115" i="7" s="1"/>
  <c r="M138" i="7"/>
  <c r="K137" i="7"/>
  <c r="K138" i="7" s="1"/>
  <c r="K152" i="7"/>
  <c r="K149" i="7" s="1"/>
  <c r="K156" i="7"/>
  <c r="K157" i="7" s="1"/>
  <c r="K154" i="7" s="1"/>
  <c r="M144" i="7"/>
  <c r="K143" i="7"/>
  <c r="K144" i="7" s="1"/>
  <c r="M147" i="7"/>
  <c r="M110" i="7"/>
  <c r="M107" i="7" s="1"/>
  <c r="M196" i="7"/>
  <c r="K32" i="16" s="1"/>
  <c r="K197" i="7"/>
  <c r="K196" i="7" s="1"/>
  <c r="M132" i="7"/>
  <c r="K131" i="7"/>
  <c r="K132" i="7" s="1"/>
  <c r="M126" i="7"/>
  <c r="K125" i="7"/>
  <c r="K126" i="7" s="1"/>
  <c r="M141" i="7"/>
  <c r="K140" i="7"/>
  <c r="K141" i="7" s="1"/>
  <c r="M224" i="7"/>
  <c r="M157" i="7"/>
  <c r="M154" i="7" s="1"/>
  <c r="M179" i="7"/>
  <c r="M176" i="7" s="1"/>
  <c r="K21" i="16" s="1"/>
  <c r="M115" i="7"/>
  <c r="M152" i="7"/>
  <c r="M149" i="7" s="1"/>
  <c r="M118" i="7"/>
  <c r="K112" i="7" l="1"/>
  <c r="M112" i="7"/>
  <c r="K36" i="16"/>
  <c r="AE224" i="7"/>
  <c r="O113" i="7" l="1"/>
  <c r="K14" i="7"/>
  <c r="J238" i="7" l="1"/>
  <c r="K236" i="7"/>
  <c r="K238" i="7" s="1"/>
  <c r="K55" i="7"/>
  <c r="J239" i="7" l="1"/>
  <c r="J241" i="7"/>
  <c r="K207" i="7"/>
  <c r="K208" i="7" l="1"/>
  <c r="K202" i="7" l="1"/>
  <c r="M129" i="7" l="1"/>
  <c r="M120" i="7" s="1"/>
  <c r="M103" i="7" s="1"/>
  <c r="K128" i="7"/>
  <c r="K129" i="7" s="1"/>
  <c r="K120" i="7" s="1"/>
  <c r="K18" i="16" l="1"/>
  <c r="K69" i="7" l="1"/>
  <c r="K72" i="7" l="1"/>
  <c r="K70" i="7" l="1"/>
  <c r="M53" i="7" l="1"/>
  <c r="K54" i="7"/>
  <c r="K53" i="7" s="1"/>
  <c r="M199" i="7" l="1"/>
  <c r="K210" i="7"/>
  <c r="K199" i="7" s="1"/>
  <c r="K83" i="7"/>
  <c r="K33" i="16" l="1"/>
  <c r="M82" i="7"/>
  <c r="M80" i="7" s="1"/>
  <c r="K14" i="16" s="1"/>
  <c r="K84" i="7"/>
  <c r="K82" i="7" s="1"/>
  <c r="K80" i="7" s="1"/>
  <c r="M38" i="7" l="1"/>
  <c r="M31" i="7" s="1"/>
  <c r="K12" i="16" s="1"/>
  <c r="K41" i="7"/>
  <c r="K38" i="7" s="1"/>
  <c r="K31" i="7" s="1"/>
  <c r="M171" i="7" l="1"/>
  <c r="AE171" i="7" s="1"/>
  <c r="K173" i="7"/>
  <c r="K171" i="7" s="1"/>
  <c r="K103" i="7" s="1"/>
  <c r="K182" i="7" s="1"/>
  <c r="M182" i="7" l="1"/>
  <c r="AE182" i="7" s="1"/>
  <c r="K20" i="16"/>
  <c r="K22" i="16" s="1"/>
  <c r="K68" i="7" l="1"/>
  <c r="K71" i="7" l="1"/>
  <c r="K78" i="7" l="1"/>
  <c r="K77" i="7" s="1"/>
  <c r="M77" i="7" l="1"/>
  <c r="M58" i="7" l="1"/>
  <c r="K62" i="7"/>
  <c r="K58" i="7" s="1"/>
  <c r="M67" i="7" l="1"/>
  <c r="M51" i="7" s="1"/>
  <c r="K13" i="16" s="1"/>
  <c r="K73" i="7"/>
  <c r="K67" i="7" s="1"/>
  <c r="K51" i="7" s="1"/>
  <c r="K193" i="7" l="1"/>
  <c r="K191" i="7" s="1"/>
  <c r="K228" i="7" s="1"/>
  <c r="M13" i="7" l="1"/>
  <c r="M11" i="7" s="1"/>
  <c r="K11" i="16" s="1"/>
  <c r="K15" i="16" s="1"/>
  <c r="K15" i="7"/>
  <c r="K13" i="7" s="1"/>
  <c r="K11" i="7" s="1"/>
  <c r="K97" i="7" s="1"/>
  <c r="K184" i="7" s="1"/>
  <c r="K230" i="7" s="1"/>
  <c r="K241" i="7" s="1"/>
  <c r="M97" i="7" l="1"/>
  <c r="AE97" i="7" s="1"/>
  <c r="K26" i="16"/>
  <c r="K16" i="16" l="1"/>
  <c r="M184" i="7"/>
  <c r="AE184" i="7" s="1"/>
  <c r="M191" i="7"/>
  <c r="M26" i="16" l="1"/>
  <c r="K31" i="16"/>
  <c r="K38" i="16" s="1"/>
  <c r="K42" i="16" s="1"/>
  <c r="K44" i="16" s="1"/>
  <c r="K51" i="16" s="1"/>
  <c r="M228" i="7"/>
  <c r="M230" i="7" s="1"/>
  <c r="M241" i="7" s="1"/>
  <c r="AE230" i="7" l="1"/>
  <c r="G95" i="4" l="1"/>
  <c r="E60" i="22"/>
  <c r="E78" i="22"/>
  <c r="F78" i="22" s="1"/>
  <c r="G189" i="4" l="1"/>
  <c r="D194" i="22"/>
  <c r="F194" i="22" s="1"/>
  <c r="I118" i="8" s="1"/>
  <c r="E60" i="21"/>
  <c r="F60" i="21" s="1"/>
  <c r="I122" i="7" s="1"/>
  <c r="N122" i="7" s="1"/>
  <c r="F60" i="22"/>
  <c r="G233" i="4" l="1"/>
  <c r="D220" i="22"/>
  <c r="F220" i="22" s="1"/>
  <c r="I164" i="8" s="1"/>
  <c r="G121" i="4" l="1"/>
  <c r="E120" i="22"/>
  <c r="E118" i="21" l="1"/>
  <c r="F118" i="21" s="1"/>
  <c r="I194" i="7" s="1"/>
  <c r="N194" i="7" s="1"/>
  <c r="F120" i="22"/>
  <c r="G79" i="4" l="1"/>
  <c r="D98" i="22"/>
  <c r="G220" i="4"/>
  <c r="D249" i="22"/>
  <c r="F249" i="22" s="1"/>
  <c r="I196" i="8" s="1"/>
  <c r="O196" i="8" s="1"/>
  <c r="F98" i="22" l="1"/>
  <c r="D96" i="21"/>
  <c r="F96" i="21" s="1"/>
  <c r="I91" i="7" s="1"/>
  <c r="N91" i="7" s="1"/>
  <c r="N12" i="6" l="1"/>
  <c r="N15" i="6" l="1"/>
  <c r="M15" i="6"/>
  <c r="M22" i="6" s="1"/>
  <c r="K239" i="7" l="1"/>
  <c r="M23" i="6"/>
  <c r="N22" i="6"/>
  <c r="N23" i="6" s="1"/>
  <c r="AN15" i="6"/>
  <c r="N32" i="6" l="1"/>
  <c r="O24" i="6"/>
  <c r="M239" i="7"/>
  <c r="D253" i="4" l="1"/>
  <c r="D155" i="4"/>
  <c r="D245" i="4"/>
  <c r="D160" i="4"/>
  <c r="E84" i="4"/>
  <c r="D271" i="4"/>
  <c r="D61" i="4"/>
  <c r="D272" i="4"/>
  <c r="D273" i="4"/>
  <c r="D38" i="4"/>
  <c r="E131" i="4"/>
  <c r="D218" i="4"/>
  <c r="D190" i="4"/>
  <c r="D193" i="4"/>
  <c r="G273" i="4" l="1"/>
  <c r="G271" i="4"/>
  <c r="D273" i="22"/>
  <c r="G272" i="4"/>
  <c r="E82" i="22"/>
  <c r="G84" i="4"/>
  <c r="E140" i="4"/>
  <c r="D206" i="4"/>
  <c r="E97" i="4"/>
  <c r="D252" i="4"/>
  <c r="D64" i="4"/>
  <c r="D13" i="4"/>
  <c r="D271" i="22"/>
  <c r="F271" i="22" s="1"/>
  <c r="I240" i="8" s="1"/>
  <c r="D267" i="4"/>
  <c r="D180" i="4"/>
  <c r="D247" i="4"/>
  <c r="D253" i="22" s="1"/>
  <c r="F253" i="22" s="1"/>
  <c r="E101" i="4"/>
  <c r="D175" i="4"/>
  <c r="E129" i="4"/>
  <c r="D165" i="22"/>
  <c r="F165" i="22" s="1"/>
  <c r="I61" i="8" s="1"/>
  <c r="O61" i="8" s="1"/>
  <c r="G160" i="4"/>
  <c r="G190" i="4"/>
  <c r="D195" i="22"/>
  <c r="F195" i="22" s="1"/>
  <c r="I119" i="8" s="1"/>
  <c r="D233" i="22"/>
  <c r="F233" i="22" s="1"/>
  <c r="I269" i="8" s="1"/>
  <c r="O269" i="8" s="1"/>
  <c r="G245" i="4"/>
  <c r="D246" i="22"/>
  <c r="F246" i="22" s="1"/>
  <c r="I192" i="8" s="1"/>
  <c r="O192" i="8" s="1"/>
  <c r="G218" i="4"/>
  <c r="D156" i="22"/>
  <c r="F156" i="22" s="1"/>
  <c r="I43" i="8" s="1"/>
  <c r="O43" i="8" s="1"/>
  <c r="G155" i="4"/>
  <c r="D191" i="22"/>
  <c r="F191" i="22" s="1"/>
  <c r="I116" i="8" s="1"/>
  <c r="O116" i="8" s="1"/>
  <c r="G193" i="4"/>
  <c r="G131" i="4"/>
  <c r="E137" i="22"/>
  <c r="F137" i="22" s="1"/>
  <c r="I261" i="8" s="1"/>
  <c r="O261" i="8" s="1"/>
  <c r="D254" i="22"/>
  <c r="F254" i="22" s="1"/>
  <c r="I225" i="8" s="1"/>
  <c r="G253" i="4"/>
  <c r="D274" i="22"/>
  <c r="G61" i="4"/>
  <c r="D59" i="22"/>
  <c r="G13" i="4" l="1"/>
  <c r="G97" i="4"/>
  <c r="D266" i="22"/>
  <c r="F266" i="22" s="1"/>
  <c r="I226" i="8" s="1"/>
  <c r="G129" i="4"/>
  <c r="G175" i="4"/>
  <c r="G101" i="4"/>
  <c r="G180" i="4"/>
  <c r="O225" i="8"/>
  <c r="E102" i="22"/>
  <c r="F102" i="22" s="1"/>
  <c r="F274" i="22"/>
  <c r="I280" i="8" s="1"/>
  <c r="I95" i="7"/>
  <c r="D100" i="22"/>
  <c r="F100" i="22" s="1"/>
  <c r="F273" i="22"/>
  <c r="I241" i="8"/>
  <c r="E85" i="22"/>
  <c r="E87" i="21" s="1"/>
  <c r="F87" i="21" s="1"/>
  <c r="I173" i="7" s="1"/>
  <c r="N173" i="7" s="1"/>
  <c r="D175" i="22"/>
  <c r="F175" i="22" s="1"/>
  <c r="I87" i="8" s="1"/>
  <c r="O87" i="8" s="1"/>
  <c r="E135" i="22"/>
  <c r="F135" i="22" s="1"/>
  <c r="I259" i="8" s="1"/>
  <c r="O259" i="8" s="1"/>
  <c r="D181" i="22"/>
  <c r="F181" i="22" s="1"/>
  <c r="I105" i="8" s="1"/>
  <c r="O105" i="8" s="1"/>
  <c r="G247" i="4"/>
  <c r="I205" i="8"/>
  <c r="G267" i="4"/>
  <c r="E141" i="22"/>
  <c r="F141" i="22" s="1"/>
  <c r="G140" i="4"/>
  <c r="D206" i="22"/>
  <c r="F206" i="22" s="1"/>
  <c r="I139" i="8" s="1"/>
  <c r="G206" i="4"/>
  <c r="D270" i="22"/>
  <c r="F270" i="22" s="1"/>
  <c r="I231" i="8" s="1"/>
  <c r="G252" i="4"/>
  <c r="D98" i="21"/>
  <c r="F98" i="21" s="1"/>
  <c r="D59" i="21"/>
  <c r="F59" i="21" s="1"/>
  <c r="I121" i="7" s="1"/>
  <c r="F59" i="22"/>
  <c r="D34" i="22"/>
  <c r="G38" i="4"/>
  <c r="D84" i="22"/>
  <c r="G64" i="4"/>
  <c r="O226" i="8" l="1"/>
  <c r="E100" i="21"/>
  <c r="F100" i="21" s="1"/>
  <c r="I226" i="7" s="1"/>
  <c r="N226" i="7" s="1"/>
  <c r="I281" i="8"/>
  <c r="F28" i="15"/>
  <c r="I243" i="8"/>
  <c r="F85" i="22"/>
  <c r="I232" i="8"/>
  <c r="I123" i="7"/>
  <c r="N123" i="7" s="1"/>
  <c r="N121" i="7"/>
  <c r="I94" i="7"/>
  <c r="N94" i="7" s="1"/>
  <c r="N95" i="7"/>
  <c r="F84" i="22"/>
  <c r="D82" i="21"/>
  <c r="F82" i="21" s="1"/>
  <c r="I172" i="7" s="1"/>
  <c r="N172" i="7" s="1"/>
  <c r="D34" i="21"/>
  <c r="F34" i="21" s="1"/>
  <c r="I56" i="7" s="1"/>
  <c r="N56" i="7" s="1"/>
  <c r="F34" i="22"/>
  <c r="O139" i="8"/>
  <c r="I28" i="8"/>
  <c r="O28" i="8" s="1"/>
  <c r="J28" i="8"/>
  <c r="J29" i="8" s="1"/>
  <c r="K28" i="8"/>
  <c r="K29" i="8" s="1"/>
  <c r="K31" i="8" s="1"/>
  <c r="O281" i="8" l="1"/>
  <c r="G11" i="15"/>
  <c r="J31" i="8"/>
  <c r="I171" i="7"/>
  <c r="N171" i="7" l="1"/>
  <c r="O172" i="7"/>
  <c r="E127" i="4" l="1"/>
  <c r="D17" i="4"/>
  <c r="D221" i="4"/>
  <c r="D179" i="4"/>
  <c r="D156" i="4"/>
  <c r="D259" i="4"/>
  <c r="D39" i="4"/>
  <c r="D219" i="4"/>
  <c r="D16" i="4"/>
  <c r="D266" i="4"/>
  <c r="D76" i="4"/>
  <c r="E133" i="4"/>
  <c r="D185" i="4"/>
  <c r="D223" i="4"/>
  <c r="D30" i="4"/>
  <c r="D210" i="4"/>
  <c r="D35" i="4"/>
  <c r="E28" i="4"/>
  <c r="E92" i="4"/>
  <c r="D169" i="4"/>
  <c r="D162" i="4"/>
  <c r="E123" i="4"/>
  <c r="D234" i="4"/>
  <c r="D176" i="4"/>
  <c r="D58" i="4"/>
  <c r="D161" i="4"/>
  <c r="E139" i="4"/>
  <c r="D14" i="4"/>
  <c r="D264" i="4"/>
  <c r="D46" i="4"/>
  <c r="D25" i="4"/>
  <c r="D231" i="4"/>
  <c r="D153" i="4"/>
  <c r="D43" i="4"/>
  <c r="D215" i="4"/>
  <c r="D159" i="4"/>
  <c r="D192" i="4"/>
  <c r="D183" i="4"/>
  <c r="D73" i="4"/>
  <c r="D66" i="4"/>
  <c r="D57" i="4"/>
  <c r="D49" i="4"/>
  <c r="E109" i="4"/>
  <c r="D145" i="4"/>
  <c r="E138" i="4"/>
  <c r="E96" i="4"/>
  <c r="D207" i="4"/>
  <c r="E98" i="4"/>
  <c r="D182" i="4"/>
  <c r="D184" i="4"/>
  <c r="D173" i="4"/>
  <c r="D222" i="4"/>
  <c r="D65" i="4"/>
  <c r="E135" i="4"/>
  <c r="E100" i="4"/>
  <c r="D33" i="4"/>
  <c r="D26" i="4"/>
  <c r="E137" i="4"/>
  <c r="D71" i="4"/>
  <c r="D199" i="4"/>
  <c r="D191" i="4"/>
  <c r="D208" i="4"/>
  <c r="D258" i="4"/>
  <c r="D225" i="4"/>
  <c r="D51" i="4"/>
  <c r="D201" i="4"/>
  <c r="D20" i="4"/>
  <c r="D151" i="4"/>
  <c r="D200" i="4"/>
  <c r="D165" i="4"/>
  <c r="D261" i="4"/>
  <c r="D237" i="4"/>
  <c r="D204" i="4"/>
  <c r="D69" i="4"/>
  <c r="D238" i="4"/>
  <c r="D36" i="4"/>
  <c r="D226" i="4"/>
  <c r="D202" i="4"/>
  <c r="D167" i="4"/>
  <c r="D70" i="4"/>
  <c r="D41" i="4"/>
  <c r="D244" i="4"/>
  <c r="D19" i="4"/>
  <c r="D18" i="4"/>
  <c r="E119" i="4"/>
  <c r="E112" i="4"/>
  <c r="E104" i="4"/>
  <c r="E94" i="4"/>
  <c r="D181" i="4"/>
  <c r="E116" i="4"/>
  <c r="D12" i="4"/>
  <c r="D228" i="4"/>
  <c r="D32" i="4"/>
  <c r="E81" i="4"/>
  <c r="E118" i="4"/>
  <c r="D152" i="4"/>
  <c r="E86" i="4"/>
  <c r="D196" i="4"/>
  <c r="D24" i="4"/>
  <c r="D256" i="4"/>
  <c r="E93" i="4"/>
  <c r="E85" i="4"/>
  <c r="D235" i="4"/>
  <c r="D23" i="4"/>
  <c r="D63" i="4"/>
  <c r="E89" i="4"/>
  <c r="D241" i="4"/>
  <c r="D22" i="4"/>
  <c r="D15" i="4"/>
  <c r="D229" i="4"/>
  <c r="D142" i="4"/>
  <c r="D78" i="4"/>
  <c r="D44" i="4"/>
  <c r="E91" i="4"/>
  <c r="D275" i="4"/>
  <c r="E126" i="4"/>
  <c r="E80" i="4"/>
  <c r="E114" i="4"/>
  <c r="D216" i="4"/>
  <c r="D150" i="4"/>
  <c r="D274" i="4"/>
  <c r="E82" i="4"/>
  <c r="D263" i="4"/>
  <c r="D240" i="4"/>
  <c r="E117" i="4"/>
  <c r="D186" i="4"/>
  <c r="E122" i="4"/>
  <c r="E106" i="4"/>
  <c r="E107" i="4"/>
  <c r="D55" i="4"/>
  <c r="D270" i="4"/>
  <c r="D42" i="4"/>
  <c r="E130" i="4"/>
  <c r="E120" i="4"/>
  <c r="E113" i="4"/>
  <c r="E128" i="4"/>
  <c r="E88" i="4"/>
  <c r="D143" i="4"/>
  <c r="G274" i="4" l="1"/>
  <c r="G85" i="4"/>
  <c r="G86" i="4"/>
  <c r="E108" i="4"/>
  <c r="D176" i="22"/>
  <c r="F176" i="22" s="1"/>
  <c r="I88" i="8" s="1"/>
  <c r="O88" i="8" s="1"/>
  <c r="G173" i="4"/>
  <c r="D166" i="22"/>
  <c r="F166" i="22" s="1"/>
  <c r="I62" i="8" s="1"/>
  <c r="G161" i="4"/>
  <c r="D208" i="22"/>
  <c r="F208" i="22" s="1"/>
  <c r="G207" i="4"/>
  <c r="D177" i="22"/>
  <c r="F177" i="22" s="1"/>
  <c r="I89" i="8" s="1"/>
  <c r="O89" i="8" s="1"/>
  <c r="G176" i="4"/>
  <c r="D56" i="4"/>
  <c r="D194" i="4"/>
  <c r="D248" i="4"/>
  <c r="D209" i="22" s="1"/>
  <c r="F209" i="22" s="1"/>
  <c r="I144" i="8" s="1"/>
  <c r="D211" i="4"/>
  <c r="D239" i="22" s="1"/>
  <c r="F239" i="22" s="1"/>
  <c r="I186" i="8" s="1"/>
  <c r="O186" i="8" s="1"/>
  <c r="E134" i="4"/>
  <c r="D170" i="4"/>
  <c r="D168" i="4"/>
  <c r="D158" i="4"/>
  <c r="E111" i="4"/>
  <c r="D54" i="4"/>
  <c r="D246" i="4"/>
  <c r="D255" i="4"/>
  <c r="D174" i="4"/>
  <c r="D27" i="4"/>
  <c r="D68" i="4"/>
  <c r="D242" i="4"/>
  <c r="D227" i="4"/>
  <c r="D171" i="4"/>
  <c r="G171" i="4" s="1"/>
  <c r="D203" i="4"/>
  <c r="D204" i="22" s="1"/>
  <c r="F204" i="22" s="1"/>
  <c r="I134" i="8" s="1"/>
  <c r="O134" i="8" s="1"/>
  <c r="E125" i="4"/>
  <c r="D268" i="4"/>
  <c r="D260" i="4"/>
  <c r="D163" i="4"/>
  <c r="D257" i="4"/>
  <c r="D164" i="4"/>
  <c r="D99" i="4"/>
  <c r="D62" i="4"/>
  <c r="D188" i="4"/>
  <c r="D178" i="4"/>
  <c r="D243" i="4"/>
  <c r="E132" i="4"/>
  <c r="E103" i="4"/>
  <c r="D254" i="4"/>
  <c r="D205" i="4"/>
  <c r="D262" i="4"/>
  <c r="G262" i="4" s="1"/>
  <c r="D50" i="4"/>
  <c r="D141" i="4"/>
  <c r="D77" i="4"/>
  <c r="D40" i="4"/>
  <c r="D146" i="4"/>
  <c r="E105" i="4"/>
  <c r="E110" i="4"/>
  <c r="D154" i="4"/>
  <c r="D209" i="4"/>
  <c r="D74" i="4"/>
  <c r="D88" i="22" s="1"/>
  <c r="E124" i="4"/>
  <c r="D147" i="4"/>
  <c r="D251" i="4"/>
  <c r="D149" i="4"/>
  <c r="D187" i="4"/>
  <c r="G187" i="4" s="1"/>
  <c r="E87" i="4"/>
  <c r="D34" i="4"/>
  <c r="G34" i="4" s="1"/>
  <c r="D232" i="4"/>
  <c r="D269" i="4"/>
  <c r="D195" i="4"/>
  <c r="D11" i="4"/>
  <c r="D157" i="4"/>
  <c r="D214" i="4"/>
  <c r="D60" i="4"/>
  <c r="D224" i="4"/>
  <c r="D197" i="4"/>
  <c r="D52" i="4"/>
  <c r="E102" i="4"/>
  <c r="D29" i="4"/>
  <c r="D265" i="4"/>
  <c r="D47" i="4"/>
  <c r="D249" i="4"/>
  <c r="E136" i="4"/>
  <c r="D166" i="4"/>
  <c r="D213" i="4"/>
  <c r="D144" i="4"/>
  <c r="D67" i="4"/>
  <c r="E115" i="4"/>
  <c r="D217" i="4"/>
  <c r="D21" i="4"/>
  <c r="D177" i="4"/>
  <c r="D230" i="4"/>
  <c r="D219" i="22" s="1"/>
  <c r="F219" i="22" s="1"/>
  <c r="I163" i="8" s="1"/>
  <c r="O163" i="8" s="1"/>
  <c r="D236" i="4"/>
  <c r="D212" i="4"/>
  <c r="D75" i="4"/>
  <c r="D250" i="4"/>
  <c r="D198" i="4"/>
  <c r="D31" i="4"/>
  <c r="D48" i="4"/>
  <c r="D37" i="4"/>
  <c r="E83" i="4"/>
  <c r="D72" i="4"/>
  <c r="D239" i="4"/>
  <c r="D59" i="4"/>
  <c r="D148" i="4"/>
  <c r="D45" i="4"/>
  <c r="E90" i="4"/>
  <c r="D172" i="4"/>
  <c r="D173" i="22" s="1"/>
  <c r="F173" i="22" s="1"/>
  <c r="I85" i="8" s="1"/>
  <c r="O85" i="8" s="1"/>
  <c r="G275" i="4"/>
  <c r="D275" i="22"/>
  <c r="F275" i="22" s="1"/>
  <c r="I236" i="8" s="1"/>
  <c r="O236" i="8" s="1"/>
  <c r="D276" i="22"/>
  <c r="F276" i="22" s="1"/>
  <c r="D53" i="4"/>
  <c r="G179" i="4"/>
  <c r="D180" i="22"/>
  <c r="F180" i="22" s="1"/>
  <c r="I101" i="8" s="1"/>
  <c r="O101" i="8" s="1"/>
  <c r="D201" i="22"/>
  <c r="F201" i="22" s="1"/>
  <c r="I131" i="8" s="1"/>
  <c r="G200" i="4"/>
  <c r="G208" i="4"/>
  <c r="D207" i="22"/>
  <c r="F207" i="22" s="1"/>
  <c r="I140" i="8" s="1"/>
  <c r="D20" i="22"/>
  <c r="J20" i="6" s="1"/>
  <c r="G27" i="4"/>
  <c r="D151" i="22"/>
  <c r="F151" i="22" s="1"/>
  <c r="I52" i="8" s="1"/>
  <c r="O52" i="8" s="1"/>
  <c r="G153" i="4"/>
  <c r="G238" i="4"/>
  <c r="D225" i="22"/>
  <c r="F225" i="22" s="1"/>
  <c r="I171" i="8" s="1"/>
  <c r="O171" i="8" s="1"/>
  <c r="D186" i="22"/>
  <c r="F186" i="22" s="1"/>
  <c r="I110" i="8" s="1"/>
  <c r="O110" i="8" s="1"/>
  <c r="G185" i="4"/>
  <c r="G99" i="4"/>
  <c r="D174" i="22"/>
  <c r="F174" i="22" s="1"/>
  <c r="I86" i="8" s="1"/>
  <c r="O86" i="8" s="1"/>
  <c r="G174" i="4"/>
  <c r="D149" i="22"/>
  <c r="F149" i="22" s="1"/>
  <c r="I50" i="8" s="1"/>
  <c r="O50" i="8" s="1"/>
  <c r="G151" i="4"/>
  <c r="G159" i="4"/>
  <c r="D164" i="22"/>
  <c r="F164" i="22" s="1"/>
  <c r="I60" i="8" s="1"/>
  <c r="O60" i="8" s="1"/>
  <c r="G204" i="4"/>
  <c r="D205" i="22"/>
  <c r="F205" i="22" s="1"/>
  <c r="I135" i="8" s="1"/>
  <c r="O135" i="8" s="1"/>
  <c r="D73" i="22"/>
  <c r="G71" i="4"/>
  <c r="G225" i="4"/>
  <c r="D215" i="22"/>
  <c r="F215" i="22" s="1"/>
  <c r="I156" i="8" s="1"/>
  <c r="O156" i="8" s="1"/>
  <c r="G237" i="4"/>
  <c r="D224" i="22"/>
  <c r="F224" i="22" s="1"/>
  <c r="I170" i="8" s="1"/>
  <c r="O170" i="8" s="1"/>
  <c r="G202" i="4"/>
  <c r="D202" i="22"/>
  <c r="F202" i="22" s="1"/>
  <c r="I133" i="8" s="1"/>
  <c r="O133" i="8" s="1"/>
  <c r="G246" i="4"/>
  <c r="D252" i="22"/>
  <c r="F252" i="22" s="1"/>
  <c r="I204" i="8" s="1"/>
  <c r="G49" i="4"/>
  <c r="D47" i="22"/>
  <c r="G66" i="4"/>
  <c r="D63" i="22"/>
  <c r="D184" i="22"/>
  <c r="F184" i="22" s="1"/>
  <c r="I108" i="8" s="1"/>
  <c r="O108" i="8" s="1"/>
  <c r="G183" i="4"/>
  <c r="G14" i="4"/>
  <c r="D11" i="22"/>
  <c r="D49" i="22"/>
  <c r="G51" i="4"/>
  <c r="G257" i="4"/>
  <c r="G221" i="4"/>
  <c r="D210" i="22"/>
  <c r="F210" i="22" s="1"/>
  <c r="I148" i="8" s="1"/>
  <c r="G19" i="4"/>
  <c r="D23" i="22"/>
  <c r="G215" i="4"/>
  <c r="D243" i="22"/>
  <c r="F243" i="22" s="1"/>
  <c r="I190" i="8" s="1"/>
  <c r="O190" i="8" s="1"/>
  <c r="D221" i="22"/>
  <c r="F221" i="22" s="1"/>
  <c r="I167" i="8" s="1"/>
  <c r="O167" i="8" s="1"/>
  <c r="G234" i="4"/>
  <c r="D158" i="22"/>
  <c r="F158" i="22" s="1"/>
  <c r="G162" i="4"/>
  <c r="D35" i="22"/>
  <c r="G36" i="4"/>
  <c r="G76" i="4"/>
  <c r="D95" i="22"/>
  <c r="G219" i="4"/>
  <c r="D248" i="22"/>
  <c r="F248" i="22" s="1"/>
  <c r="I195" i="8" s="1"/>
  <c r="O195" i="8" s="1"/>
  <c r="D211" i="22"/>
  <c r="F211" i="22" s="1"/>
  <c r="I149" i="8" s="1"/>
  <c r="O149" i="8" s="1"/>
  <c r="G222" i="4"/>
  <c r="D69" i="22"/>
  <c r="G69" i="4"/>
  <c r="D185" i="22"/>
  <c r="F185" i="22" s="1"/>
  <c r="I109" i="8" s="1"/>
  <c r="O109" i="8" s="1"/>
  <c r="G184" i="4"/>
  <c r="D258" i="22"/>
  <c r="F258" i="22" s="1"/>
  <c r="I216" i="8" s="1"/>
  <c r="G259" i="4"/>
  <c r="G65" i="4"/>
  <c r="D61" i="22"/>
  <c r="D230" i="22"/>
  <c r="F230" i="22" s="1"/>
  <c r="I266" i="8" s="1"/>
  <c r="O266" i="8" s="1"/>
  <c r="G242" i="4"/>
  <c r="G25" i="4"/>
  <c r="D18" i="22"/>
  <c r="D203" i="22"/>
  <c r="F203" i="22" s="1"/>
  <c r="I132" i="8" s="1"/>
  <c r="O132" i="8" s="1"/>
  <c r="G201" i="4"/>
  <c r="G123" i="4"/>
  <c r="Q15" i="6"/>
  <c r="E124" i="22"/>
  <c r="G59" i="4"/>
  <c r="D55" i="22"/>
  <c r="E285" i="4"/>
  <c r="D238" i="22"/>
  <c r="F238" i="22" s="1"/>
  <c r="I185" i="8" s="1"/>
  <c r="O185" i="8" s="1"/>
  <c r="G210" i="4"/>
  <c r="G29" i="4"/>
  <c r="G39" i="4"/>
  <c r="D36" i="22"/>
  <c r="D257" i="22"/>
  <c r="F257" i="22" s="1"/>
  <c r="I215" i="8" s="1"/>
  <c r="G258" i="4"/>
  <c r="G35" i="4"/>
  <c r="D32" i="22"/>
  <c r="D232" i="22"/>
  <c r="F232" i="22" s="1"/>
  <c r="I268" i="8" s="1"/>
  <c r="O268" i="8" s="1"/>
  <c r="G244" i="4"/>
  <c r="D200" i="22"/>
  <c r="F200" i="22" s="1"/>
  <c r="I127" i="8" s="1"/>
  <c r="O127" i="8" s="1"/>
  <c r="G199" i="4"/>
  <c r="G145" i="4"/>
  <c r="D155" i="22"/>
  <c r="F155" i="22" s="1"/>
  <c r="I44" i="8" s="1"/>
  <c r="O44" i="8" s="1"/>
  <c r="G192" i="4"/>
  <c r="D192" i="22"/>
  <c r="F192" i="22" s="1"/>
  <c r="I115" i="8" s="1"/>
  <c r="O115" i="8" s="1"/>
  <c r="G70" i="4"/>
  <c r="D71" i="22"/>
  <c r="D40" i="22"/>
  <c r="G43" i="4"/>
  <c r="E139" i="22"/>
  <c r="F139" i="22" s="1"/>
  <c r="I22" i="8" s="1"/>
  <c r="O22" i="8" s="1"/>
  <c r="G133" i="4"/>
  <c r="G62" i="4"/>
  <c r="D183" i="22"/>
  <c r="F183" i="22" s="1"/>
  <c r="I107" i="8" s="1"/>
  <c r="O107" i="8" s="1"/>
  <c r="G182" i="4"/>
  <c r="G165" i="4"/>
  <c r="D160" i="22"/>
  <c r="F160" i="22" s="1"/>
  <c r="I74" i="8" s="1"/>
  <c r="O74" i="8" s="1"/>
  <c r="G57" i="4"/>
  <c r="D52" i="22"/>
  <c r="D77" i="22"/>
  <c r="G73" i="4"/>
  <c r="G58" i="4"/>
  <c r="D53" i="22"/>
  <c r="G261" i="4"/>
  <c r="D260" i="22"/>
  <c r="F260" i="22" s="1"/>
  <c r="I218" i="8" s="1"/>
  <c r="O218" i="8" s="1"/>
  <c r="G135" i="4"/>
  <c r="E130" i="22"/>
  <c r="F130" i="22" s="1"/>
  <c r="G109" i="4"/>
  <c r="E109" i="22"/>
  <c r="G20" i="4"/>
  <c r="D29" i="22"/>
  <c r="G239" i="4"/>
  <c r="D168" i="22"/>
  <c r="F168" i="22" s="1"/>
  <c r="I80" i="8" s="1"/>
  <c r="O80" i="8" s="1"/>
  <c r="G167" i="4"/>
  <c r="D170" i="22"/>
  <c r="F170" i="22" s="1"/>
  <c r="I82" i="8" s="1"/>
  <c r="O82" i="8" s="1"/>
  <c r="G169" i="4"/>
  <c r="D38" i="22"/>
  <c r="G41" i="4"/>
  <c r="D161" i="22"/>
  <c r="F161" i="22" s="1"/>
  <c r="I71" i="8" s="1"/>
  <c r="O71" i="8" s="1"/>
  <c r="G164" i="4"/>
  <c r="D213" i="22"/>
  <c r="F213" i="22" s="1"/>
  <c r="I151" i="8" s="1"/>
  <c r="O151" i="8" s="1"/>
  <c r="G226" i="4"/>
  <c r="D172" i="22" l="1"/>
  <c r="F172" i="22" s="1"/>
  <c r="I84" i="8" s="1"/>
  <c r="O84" i="8" s="1"/>
  <c r="G211" i="4"/>
  <c r="D25" i="22"/>
  <c r="G230" i="4"/>
  <c r="D268" i="22"/>
  <c r="F268" i="22" s="1"/>
  <c r="I214" i="8" s="1"/>
  <c r="O214" i="8" s="1"/>
  <c r="D236" i="22"/>
  <c r="F236" i="22" s="1"/>
  <c r="I181" i="8" s="1"/>
  <c r="O181" i="8" s="1"/>
  <c r="D240" i="22"/>
  <c r="F240" i="22" s="1"/>
  <c r="I187" i="8" s="1"/>
  <c r="O187" i="8" s="1"/>
  <c r="E122" i="22"/>
  <c r="D67" i="22"/>
  <c r="G254" i="4"/>
  <c r="D255" i="22"/>
  <c r="F255" i="22" s="1"/>
  <c r="I211" i="8" s="1"/>
  <c r="D223" i="22"/>
  <c r="F223" i="22" s="1"/>
  <c r="I169" i="8" s="1"/>
  <c r="O169" i="8" s="1"/>
  <c r="G52" i="4"/>
  <c r="E128" i="22"/>
  <c r="F128" i="22" s="1"/>
  <c r="I16" i="8" s="1"/>
  <c r="O16" i="8" s="1"/>
  <c r="D231" i="22"/>
  <c r="F231" i="22" s="1"/>
  <c r="I267" i="8" s="1"/>
  <c r="O267" i="8" s="1"/>
  <c r="G172" i="4"/>
  <c r="D197" i="22"/>
  <c r="F197" i="22" s="1"/>
  <c r="I121" i="8" s="1"/>
  <c r="O121" i="8" s="1"/>
  <c r="G74" i="4"/>
  <c r="G178" i="4"/>
  <c r="G90" i="4"/>
  <c r="G177" i="4"/>
  <c r="G224" i="4"/>
  <c r="D237" i="22"/>
  <c r="F237" i="22" s="1"/>
  <c r="I184" i="8" s="1"/>
  <c r="D198" i="22"/>
  <c r="F198" i="22" s="1"/>
  <c r="I122" i="8" s="1"/>
  <c r="O122" i="8" s="1"/>
  <c r="G255" i="4"/>
  <c r="D41" i="22"/>
  <c r="D57" i="22"/>
  <c r="D152" i="22"/>
  <c r="F152" i="22" s="1"/>
  <c r="I53" i="8" s="1"/>
  <c r="O53" i="8" s="1"/>
  <c r="D80" i="22"/>
  <c r="D79" i="21" s="1"/>
  <c r="F79" i="21" s="1"/>
  <c r="I155" i="7" s="1"/>
  <c r="G148" i="4"/>
  <c r="G217" i="4"/>
  <c r="D242" i="22"/>
  <c r="F242" i="22" s="1"/>
  <c r="I189" i="8" s="1"/>
  <c r="O189" i="8" s="1"/>
  <c r="D87" i="22"/>
  <c r="F87" i="22" s="1"/>
  <c r="G54" i="4"/>
  <c r="D51" i="22"/>
  <c r="G115" i="4"/>
  <c r="D147" i="22"/>
  <c r="F147" i="22" s="1"/>
  <c r="I48" i="8" s="1"/>
  <c r="O48" i="8" s="1"/>
  <c r="D228" i="22"/>
  <c r="F228" i="22" s="1"/>
  <c r="I172" i="8" s="1"/>
  <c r="O172" i="8" s="1"/>
  <c r="D65" i="22"/>
  <c r="D157" i="22"/>
  <c r="F157" i="22" s="1"/>
  <c r="I45" i="8" s="1"/>
  <c r="O45" i="8" s="1"/>
  <c r="D75" i="22"/>
  <c r="G144" i="4"/>
  <c r="D193" i="22"/>
  <c r="F193" i="22" s="1"/>
  <c r="I117" i="8" s="1"/>
  <c r="O117" i="8" s="1"/>
  <c r="G40" i="4"/>
  <c r="D216" i="22"/>
  <c r="F216" i="22" s="1"/>
  <c r="I157" i="8" s="1"/>
  <c r="O157" i="8" s="1"/>
  <c r="D241" i="22"/>
  <c r="F241" i="22" s="1"/>
  <c r="I188" i="8" s="1"/>
  <c r="O188" i="8" s="1"/>
  <c r="D251" i="22"/>
  <c r="F251" i="22" s="1"/>
  <c r="I197" i="8" s="1"/>
  <c r="D96" i="22"/>
  <c r="D94" i="21" s="1"/>
  <c r="F94" i="21" s="1"/>
  <c r="I92" i="7" s="1"/>
  <c r="N92" i="7" s="1"/>
  <c r="D259" i="22"/>
  <c r="F259" i="22" s="1"/>
  <c r="I217" i="8" s="1"/>
  <c r="D171" i="22"/>
  <c r="F171" i="22" s="1"/>
  <c r="I83" i="8" s="1"/>
  <c r="O83" i="8" s="1"/>
  <c r="G149" i="4"/>
  <c r="G37" i="4"/>
  <c r="G166" i="4"/>
  <c r="G232" i="4"/>
  <c r="G141" i="4"/>
  <c r="G268" i="4"/>
  <c r="E129" i="22"/>
  <c r="F129" i="22" s="1"/>
  <c r="I17" i="8" s="1"/>
  <c r="O17" i="8" s="1"/>
  <c r="G265" i="4"/>
  <c r="G227" i="4"/>
  <c r="D45" i="22"/>
  <c r="F45" i="22" s="1"/>
  <c r="D94" i="22"/>
  <c r="F94" i="22" s="1"/>
  <c r="D48" i="22"/>
  <c r="D48" i="21" s="1"/>
  <c r="F48" i="21" s="1"/>
  <c r="I74" i="7" s="1"/>
  <c r="N74" i="7" s="1"/>
  <c r="G125" i="4"/>
  <c r="G56" i="4"/>
  <c r="G31" i="4"/>
  <c r="G249" i="4"/>
  <c r="D261" i="22"/>
  <c r="F261" i="22" s="1"/>
  <c r="I219" i="8" s="1"/>
  <c r="O219" i="8" s="1"/>
  <c r="G203" i="4"/>
  <c r="G248" i="4"/>
  <c r="G198" i="4"/>
  <c r="G47" i="4"/>
  <c r="D188" i="22"/>
  <c r="F188" i="22" s="1"/>
  <c r="I112" i="8" s="1"/>
  <c r="O112" i="8" s="1"/>
  <c r="G205" i="4"/>
  <c r="D189" i="22"/>
  <c r="F189" i="22" s="1"/>
  <c r="I113" i="8" s="1"/>
  <c r="O113" i="8" s="1"/>
  <c r="G134" i="4"/>
  <c r="D269" i="22"/>
  <c r="F269" i="22" s="1"/>
  <c r="I224" i="8" s="1"/>
  <c r="O224" i="8" s="1"/>
  <c r="E125" i="22"/>
  <c r="O216" i="8"/>
  <c r="O215" i="8"/>
  <c r="D44" i="22"/>
  <c r="D44" i="21" s="1"/>
  <c r="F44" i="21" s="1"/>
  <c r="I70" i="7" s="1"/>
  <c r="N70" i="7" s="1"/>
  <c r="G53" i="4"/>
  <c r="D167" i="22"/>
  <c r="F167" i="22" s="1"/>
  <c r="I79" i="8" s="1"/>
  <c r="O79" i="8" s="1"/>
  <c r="D199" i="22"/>
  <c r="F199" i="22" s="1"/>
  <c r="I126" i="8" s="1"/>
  <c r="O126" i="8" s="1"/>
  <c r="D33" i="22"/>
  <c r="F33" i="22" s="1"/>
  <c r="D142" i="22"/>
  <c r="F142" i="22" s="1"/>
  <c r="I36" i="8" s="1"/>
  <c r="G194" i="4"/>
  <c r="G260" i="4"/>
  <c r="G77" i="4"/>
  <c r="G213" i="4"/>
  <c r="G170" i="4"/>
  <c r="G269" i="4"/>
  <c r="D27" i="22"/>
  <c r="F27" i="22" s="1"/>
  <c r="E70" i="22"/>
  <c r="G195" i="4"/>
  <c r="G72" i="4"/>
  <c r="G188" i="4"/>
  <c r="G67" i="4"/>
  <c r="G124" i="4"/>
  <c r="G48" i="4"/>
  <c r="D247" i="22"/>
  <c r="F247" i="22" s="1"/>
  <c r="I194" i="8" s="1"/>
  <c r="O194" i="8" s="1"/>
  <c r="G68" i="4"/>
  <c r="D226" i="22"/>
  <c r="F226" i="22" s="1"/>
  <c r="I166" i="8" s="1"/>
  <c r="O166" i="8" s="1"/>
  <c r="D37" i="22"/>
  <c r="F37" i="22" s="1"/>
  <c r="D256" i="22"/>
  <c r="F256" i="22" s="1"/>
  <c r="I212" i="8" s="1"/>
  <c r="G236" i="4"/>
  <c r="D264" i="22"/>
  <c r="F264" i="22" s="1"/>
  <c r="I222" i="8" s="1"/>
  <c r="G212" i="4"/>
  <c r="D146" i="22"/>
  <c r="F146" i="22" s="1"/>
  <c r="I47" i="8" s="1"/>
  <c r="O47" i="8" s="1"/>
  <c r="G214" i="4"/>
  <c r="D179" i="22"/>
  <c r="F179" i="22" s="1"/>
  <c r="I100" i="8" s="1"/>
  <c r="O100" i="8" s="1"/>
  <c r="G45" i="4"/>
  <c r="G102" i="4"/>
  <c r="E115" i="22"/>
  <c r="E113" i="21" s="1"/>
  <c r="F113" i="21" s="1"/>
  <c r="I212" i="7" s="1"/>
  <c r="N212" i="7" s="1"/>
  <c r="D50" i="22"/>
  <c r="D50" i="21" s="1"/>
  <c r="F50" i="21" s="1"/>
  <c r="I68" i="7" s="1"/>
  <c r="N68" i="7" s="1"/>
  <c r="G209" i="4"/>
  <c r="D46" i="22"/>
  <c r="F46" i="22" s="1"/>
  <c r="G154" i="4"/>
  <c r="G146" i="4"/>
  <c r="G243" i="4"/>
  <c r="D154" i="22"/>
  <c r="F154" i="22" s="1"/>
  <c r="I42" i="8" s="1"/>
  <c r="O42" i="8" s="1"/>
  <c r="G197" i="4"/>
  <c r="D22" i="22"/>
  <c r="D22" i="21" s="1"/>
  <c r="F22" i="21" s="1"/>
  <c r="I101" i="7" s="1"/>
  <c r="D214" i="22"/>
  <c r="F214" i="22" s="1"/>
  <c r="I155" i="8" s="1"/>
  <c r="O155" i="8" s="1"/>
  <c r="D245" i="22"/>
  <c r="F245" i="22" s="1"/>
  <c r="I193" i="8" s="1"/>
  <c r="O193" i="8" s="1"/>
  <c r="G50" i="4"/>
  <c r="D178" i="22"/>
  <c r="F178" i="22" s="1"/>
  <c r="I96" i="8" s="1"/>
  <c r="O96" i="8" s="1"/>
  <c r="G251" i="4"/>
  <c r="E285" i="21"/>
  <c r="D234" i="22"/>
  <c r="F234" i="22" s="1"/>
  <c r="I176" i="8" s="1"/>
  <c r="O176" i="8" s="1"/>
  <c r="G60" i="4"/>
  <c r="E64" i="22"/>
  <c r="G87" i="4"/>
  <c r="E103" i="22"/>
  <c r="G103" i="4"/>
  <c r="G122" i="4"/>
  <c r="E123" i="22"/>
  <c r="G241" i="4"/>
  <c r="D229" i="22"/>
  <c r="F229" i="22" s="1"/>
  <c r="I265" i="8" s="1"/>
  <c r="D148" i="22"/>
  <c r="F148" i="22" s="1"/>
  <c r="I49" i="8" s="1"/>
  <c r="G150" i="4"/>
  <c r="Q16" i="6"/>
  <c r="F29" i="22"/>
  <c r="D29" i="21"/>
  <c r="F29" i="21" s="1"/>
  <c r="I36" i="7" s="1"/>
  <c r="N36" i="7" s="1"/>
  <c r="F52" i="22"/>
  <c r="D52" i="21"/>
  <c r="F52" i="21" s="1"/>
  <c r="F25" i="22"/>
  <c r="D25" i="21"/>
  <c r="F25" i="21" s="1"/>
  <c r="I39" i="7" s="1"/>
  <c r="N39" i="7" s="1"/>
  <c r="F23" i="22"/>
  <c r="D23" i="21"/>
  <c r="F23" i="21" s="1"/>
  <c r="I34" i="7" s="1"/>
  <c r="N34" i="7" s="1"/>
  <c r="G130" i="4"/>
  <c r="E136" i="22"/>
  <c r="F136" i="22" s="1"/>
  <c r="I260" i="8" s="1"/>
  <c r="O260" i="8" s="1"/>
  <c r="D187" i="22"/>
  <c r="F187" i="22" s="1"/>
  <c r="I111" i="8" s="1"/>
  <c r="O111" i="8" s="1"/>
  <c r="G186" i="4"/>
  <c r="I136" i="8"/>
  <c r="O136" i="8" s="1"/>
  <c r="O131" i="8"/>
  <c r="G96" i="4"/>
  <c r="E89" i="22"/>
  <c r="G105" i="4"/>
  <c r="E105" i="22"/>
  <c r="G229" i="4"/>
  <c r="D218" i="22"/>
  <c r="F218" i="22" s="1"/>
  <c r="I162" i="8" s="1"/>
  <c r="O162" i="8" s="1"/>
  <c r="G42" i="4"/>
  <c r="D39" i="22"/>
  <c r="G107" i="4"/>
  <c r="E107" i="22"/>
  <c r="G81" i="4"/>
  <c r="E56" i="22"/>
  <c r="D47" i="21"/>
  <c r="F47" i="21" s="1"/>
  <c r="I71" i="7" s="1"/>
  <c r="N71" i="7" s="1"/>
  <c r="F47" i="22"/>
  <c r="I145" i="8"/>
  <c r="O145" i="8" s="1"/>
  <c r="O144" i="8"/>
  <c r="E114" i="22"/>
  <c r="G114" i="4"/>
  <c r="G23" i="4"/>
  <c r="D15" i="22"/>
  <c r="F40" i="22"/>
  <c r="D40" i="21"/>
  <c r="F40" i="21" s="1"/>
  <c r="I63" i="7" s="1"/>
  <c r="N63" i="7" s="1"/>
  <c r="D32" i="21"/>
  <c r="F32" i="21" s="1"/>
  <c r="I49" i="7" s="1"/>
  <c r="N49" i="7" s="1"/>
  <c r="F32" i="22"/>
  <c r="E118" i="22"/>
  <c r="G118" i="4"/>
  <c r="G240" i="4"/>
  <c r="D250" i="22"/>
  <c r="F250" i="22" s="1"/>
  <c r="E62" i="22"/>
  <c r="D227" i="22"/>
  <c r="F227" i="22" s="1"/>
  <c r="I165" i="8" s="1"/>
  <c r="O165" i="8" s="1"/>
  <c r="G231" i="4"/>
  <c r="D169" i="22"/>
  <c r="F169" i="22" s="1"/>
  <c r="I81" i="8" s="1"/>
  <c r="O81" i="8" s="1"/>
  <c r="G168" i="4"/>
  <c r="G110" i="4"/>
  <c r="E110" i="22"/>
  <c r="E111" i="22"/>
  <c r="G111" i="4"/>
  <c r="F67" i="22"/>
  <c r="D67" i="21"/>
  <c r="F67" i="21" s="1"/>
  <c r="I133" i="7" s="1"/>
  <c r="N133" i="7" s="1"/>
  <c r="E116" i="22"/>
  <c r="G116" i="4"/>
  <c r="D57" i="21"/>
  <c r="F57" i="21" s="1"/>
  <c r="I116" i="7" s="1"/>
  <c r="N116" i="7" s="1"/>
  <c r="F57" i="22"/>
  <c r="E120" i="21"/>
  <c r="F120" i="21" s="1"/>
  <c r="I197" i="7" s="1"/>
  <c r="F122" i="22"/>
  <c r="D53" i="21"/>
  <c r="F53" i="21" s="1"/>
  <c r="I108" i="7" s="1"/>
  <c r="N108" i="7" s="1"/>
  <c r="F53" i="22"/>
  <c r="O211" i="8"/>
  <c r="D71" i="21"/>
  <c r="F71" i="21" s="1"/>
  <c r="I139" i="7" s="1"/>
  <c r="N139" i="7" s="1"/>
  <c r="F71" i="22"/>
  <c r="G104" i="4"/>
  <c r="E104" i="22"/>
  <c r="G82" i="4"/>
  <c r="E58" i="22"/>
  <c r="E132" i="22"/>
  <c r="F132" i="22" s="1"/>
  <c r="I26" i="8" s="1"/>
  <c r="G137" i="4"/>
  <c r="G92" i="4"/>
  <c r="E74" i="22"/>
  <c r="G21" i="4"/>
  <c r="D30" i="22"/>
  <c r="E133" i="22"/>
  <c r="F133" i="22" s="1"/>
  <c r="I27" i="8" s="1"/>
  <c r="O27" i="8" s="1"/>
  <c r="G138" i="4"/>
  <c r="E127" i="22"/>
  <c r="F127" i="22" s="1"/>
  <c r="I15" i="8" s="1"/>
  <c r="O15" i="8" s="1"/>
  <c r="G127" i="4"/>
  <c r="E68" i="22"/>
  <c r="G89" i="4"/>
  <c r="D90" i="22"/>
  <c r="G75" i="4"/>
  <c r="F36" i="22"/>
  <c r="D36" i="21"/>
  <c r="F36" i="21" s="1"/>
  <c r="I59" i="7" s="1"/>
  <c r="N59" i="7" s="1"/>
  <c r="E79" i="22"/>
  <c r="G94" i="4"/>
  <c r="G156" i="4"/>
  <c r="D153" i="22"/>
  <c r="F153" i="22" s="1"/>
  <c r="I54" i="8" s="1"/>
  <c r="O54" i="8" s="1"/>
  <c r="G263" i="4"/>
  <c r="D262" i="22"/>
  <c r="F262" i="22" s="1"/>
  <c r="I220" i="8" s="1"/>
  <c r="O220" i="8" s="1"/>
  <c r="F63" i="22"/>
  <c r="D63" i="21"/>
  <c r="F63" i="21" s="1"/>
  <c r="I127" i="7" s="1"/>
  <c r="N127" i="7" s="1"/>
  <c r="D143" i="22"/>
  <c r="F143" i="22" s="1"/>
  <c r="I37" i="8" s="1"/>
  <c r="O37" i="8" s="1"/>
  <c r="G142" i="4"/>
  <c r="D97" i="22"/>
  <c r="G78" i="4"/>
  <c r="E21" i="22"/>
  <c r="J21" i="6" s="1"/>
  <c r="G28" i="4"/>
  <c r="E277" i="4"/>
  <c r="E286" i="4" s="1"/>
  <c r="F95" i="22"/>
  <c r="D93" i="21"/>
  <c r="F93" i="21" s="1"/>
  <c r="I89" i="7" s="1"/>
  <c r="N89" i="7" s="1"/>
  <c r="F73" i="22"/>
  <c r="D73" i="21"/>
  <c r="F73" i="21" s="1"/>
  <c r="I142" i="7" s="1"/>
  <c r="N142" i="7" s="1"/>
  <c r="G24" i="4"/>
  <c r="D16" i="22"/>
  <c r="E119" i="22"/>
  <c r="G119" i="4"/>
  <c r="D77" i="21"/>
  <c r="F77" i="21" s="1"/>
  <c r="I150" i="7" s="1"/>
  <c r="N150" i="7" s="1"/>
  <c r="F77" i="22"/>
  <c r="G143" i="4"/>
  <c r="D144" i="22"/>
  <c r="F144" i="22" s="1"/>
  <c r="I41" i="8" s="1"/>
  <c r="F38" i="22"/>
  <c r="D38" i="21"/>
  <c r="F38" i="21" s="1"/>
  <c r="I61" i="7" s="1"/>
  <c r="N61" i="7" s="1"/>
  <c r="G100" i="4"/>
  <c r="E101" i="22"/>
  <c r="D51" i="21"/>
  <c r="F51" i="21" s="1"/>
  <c r="I78" i="7" s="1"/>
  <c r="N78" i="7" s="1"/>
  <c r="F51" i="22"/>
  <c r="E107" i="21"/>
  <c r="F107" i="21" s="1"/>
  <c r="I206" i="7" s="1"/>
  <c r="N206" i="7" s="1"/>
  <c r="F109" i="22"/>
  <c r="I276" i="8"/>
  <c r="I277" i="8" s="1"/>
  <c r="F27" i="15" s="1"/>
  <c r="E140" i="22"/>
  <c r="F140" i="22" s="1"/>
  <c r="G139" i="4"/>
  <c r="G98" i="4"/>
  <c r="E91" i="22"/>
  <c r="I128" i="8"/>
  <c r="O128" i="8" s="1"/>
  <c r="D14" i="22"/>
  <c r="G18" i="4"/>
  <c r="I20" i="7" s="1"/>
  <c r="N20" i="7" s="1"/>
  <c r="G270" i="4"/>
  <c r="D272" i="22"/>
  <c r="F272" i="22" s="1"/>
  <c r="I235" i="8" s="1"/>
  <c r="G88" i="4"/>
  <c r="E66" i="22"/>
  <c r="G152" i="4"/>
  <c r="D150" i="22"/>
  <c r="F150" i="22" s="1"/>
  <c r="I51" i="8" s="1"/>
  <c r="O51" i="8" s="1"/>
  <c r="I206" i="8"/>
  <c r="O204" i="8"/>
  <c r="D17" i="22"/>
  <c r="G15" i="4"/>
  <c r="G250" i="4"/>
  <c r="D235" i="22"/>
  <c r="F235" i="22" s="1"/>
  <c r="I177" i="8" s="1"/>
  <c r="O177" i="8" s="1"/>
  <c r="D265" i="22"/>
  <c r="F265" i="22" s="1"/>
  <c r="I223" i="8" s="1"/>
  <c r="G266" i="4"/>
  <c r="E126" i="22"/>
  <c r="F126" i="22" s="1"/>
  <c r="I14" i="8" s="1"/>
  <c r="O14" i="8" s="1"/>
  <c r="G126" i="4"/>
  <c r="G11" i="4"/>
  <c r="D92" i="22"/>
  <c r="D162" i="22"/>
  <c r="F162" i="22" s="1"/>
  <c r="I58" i="8" s="1"/>
  <c r="G157" i="4"/>
  <c r="D65" i="21"/>
  <c r="F65" i="21" s="1"/>
  <c r="I130" i="7" s="1"/>
  <c r="N130" i="7" s="1"/>
  <c r="F65" i="22"/>
  <c r="G191" i="4"/>
  <c r="D190" i="22"/>
  <c r="F190" i="22" s="1"/>
  <c r="I114" i="8" s="1"/>
  <c r="O114" i="8" s="1"/>
  <c r="D35" i="21"/>
  <c r="F35" i="21" s="1"/>
  <c r="I55" i="7" s="1"/>
  <c r="N55" i="7" s="1"/>
  <c r="F35" i="22"/>
  <c r="D31" i="22"/>
  <c r="G32" i="4"/>
  <c r="F50" i="22"/>
  <c r="D244" i="22"/>
  <c r="F244" i="22" s="1"/>
  <c r="I191" i="8" s="1"/>
  <c r="O191" i="8" s="1"/>
  <c r="G216" i="4"/>
  <c r="E108" i="22"/>
  <c r="G108" i="4"/>
  <c r="D28" i="22"/>
  <c r="G33" i="4"/>
  <c r="G112" i="4"/>
  <c r="E112" i="22"/>
  <c r="D55" i="21"/>
  <c r="F55" i="21" s="1"/>
  <c r="I113" i="7" s="1"/>
  <c r="N113" i="7" s="1"/>
  <c r="F55" i="22"/>
  <c r="O184" i="8"/>
  <c r="D24" i="22"/>
  <c r="G22" i="4"/>
  <c r="F49" i="22"/>
  <c r="D49" i="21"/>
  <c r="F49" i="21" s="1"/>
  <c r="I75" i="7" s="1"/>
  <c r="N75" i="7" s="1"/>
  <c r="F70" i="22"/>
  <c r="E70" i="21"/>
  <c r="F70" i="21" s="1"/>
  <c r="I137" i="7" s="1"/>
  <c r="N137" i="7" s="1"/>
  <c r="E121" i="22"/>
  <c r="G120" i="4"/>
  <c r="G12" i="4"/>
  <c r="D93" i="22"/>
  <c r="F20" i="22"/>
  <c r="F20" i="21"/>
  <c r="I26" i="7" s="1"/>
  <c r="N26" i="7" s="1"/>
  <c r="D212" i="22"/>
  <c r="F212" i="22" s="1"/>
  <c r="I150" i="8" s="1"/>
  <c r="I152" i="8" s="1"/>
  <c r="O152" i="8" s="1"/>
  <c r="G223" i="4"/>
  <c r="G158" i="4"/>
  <c r="D163" i="22"/>
  <c r="F163" i="22" s="1"/>
  <c r="I59" i="8" s="1"/>
  <c r="O59" i="8" s="1"/>
  <c r="D145" i="22"/>
  <c r="F145" i="22" s="1"/>
  <c r="I46" i="8" s="1"/>
  <c r="O46" i="8" s="1"/>
  <c r="G147" i="4"/>
  <c r="E106" i="22"/>
  <c r="G106" i="4"/>
  <c r="G16" i="4"/>
  <c r="D12" i="22"/>
  <c r="G80" i="4"/>
  <c r="E54" i="22"/>
  <c r="D99" i="22"/>
  <c r="G55" i="4"/>
  <c r="F125" i="22"/>
  <c r="I13" i="8" s="1"/>
  <c r="E72" i="22"/>
  <c r="G91" i="4"/>
  <c r="I66" i="8"/>
  <c r="M66" i="8"/>
  <c r="F11" i="22"/>
  <c r="D11" i="21"/>
  <c r="F11" i="21" s="1"/>
  <c r="I15" i="7" s="1"/>
  <c r="N15" i="7" s="1"/>
  <c r="G264" i="4"/>
  <c r="D263" i="22"/>
  <c r="F263" i="22" s="1"/>
  <c r="I221" i="8" s="1"/>
  <c r="D267" i="22"/>
  <c r="F267" i="22" s="1"/>
  <c r="I213" i="8" s="1"/>
  <c r="G256" i="4"/>
  <c r="G132" i="4"/>
  <c r="E138" i="22"/>
  <c r="F138" i="22" s="1"/>
  <c r="I21" i="8" s="1"/>
  <c r="F124" i="22"/>
  <c r="O16" i="6"/>
  <c r="O22" i="6"/>
  <c r="O15" i="6"/>
  <c r="N31" i="6"/>
  <c r="D61" i="21"/>
  <c r="F61" i="21" s="1"/>
  <c r="I124" i="7" s="1"/>
  <c r="N124" i="7" s="1"/>
  <c r="F61" i="22"/>
  <c r="D13" i="22"/>
  <c r="G17" i="4"/>
  <c r="E81" i="22"/>
  <c r="G83" i="4"/>
  <c r="E117" i="22"/>
  <c r="G117" i="4"/>
  <c r="G235" i="4"/>
  <c r="D222" i="22"/>
  <c r="F222" i="22" s="1"/>
  <c r="I168" i="8" s="1"/>
  <c r="O168" i="8" s="1"/>
  <c r="O148" i="8"/>
  <c r="D196" i="22"/>
  <c r="F196" i="22" s="1"/>
  <c r="I120" i="8" s="1"/>
  <c r="O120" i="8" s="1"/>
  <c r="G196" i="4"/>
  <c r="E131" i="22"/>
  <c r="F131" i="22" s="1"/>
  <c r="G136" i="4"/>
  <c r="O140" i="8"/>
  <c r="I141" i="8"/>
  <c r="O141" i="8" s="1"/>
  <c r="F41" i="22"/>
  <c r="D41" i="21"/>
  <c r="F41" i="21" s="1"/>
  <c r="I65" i="7" s="1"/>
  <c r="N65" i="7" s="1"/>
  <c r="E76" i="22"/>
  <c r="G93" i="4"/>
  <c r="G30" i="4"/>
  <c r="D26" i="22"/>
  <c r="G113" i="4"/>
  <c r="E113" i="22"/>
  <c r="D217" i="22"/>
  <c r="F217" i="22" s="1"/>
  <c r="I161" i="8" s="1"/>
  <c r="G228" i="4"/>
  <c r="D18" i="21"/>
  <c r="F18" i="21" s="1"/>
  <c r="I29" i="7" s="1"/>
  <c r="N29" i="7" s="1"/>
  <c r="F18" i="22"/>
  <c r="G128" i="4"/>
  <c r="E134" i="22"/>
  <c r="F134" i="22" s="1"/>
  <c r="I258" i="8" s="1"/>
  <c r="D75" i="21"/>
  <c r="F75" i="21" s="1"/>
  <c r="I145" i="7" s="1"/>
  <c r="N145" i="7" s="1"/>
  <c r="F75" i="22"/>
  <c r="G26" i="4"/>
  <c r="D19" i="22"/>
  <c r="D69" i="21"/>
  <c r="F69" i="21" s="1"/>
  <c r="I136" i="7" s="1"/>
  <c r="N136" i="7" s="1"/>
  <c r="F69" i="22"/>
  <c r="E86" i="22"/>
  <c r="G163" i="4"/>
  <c r="D159" i="22"/>
  <c r="F159" i="22" s="1"/>
  <c r="G46" i="4"/>
  <c r="D43" i="22"/>
  <c r="G44" i="4"/>
  <c r="D42" i="22"/>
  <c r="D182" i="22"/>
  <c r="F182" i="22" s="1"/>
  <c r="I106" i="8" s="1"/>
  <c r="G181" i="4"/>
  <c r="G63" i="4"/>
  <c r="D83" i="22"/>
  <c r="D85" i="21"/>
  <c r="F85" i="21" s="1"/>
  <c r="I164" i="7" s="1"/>
  <c r="N164" i="7" s="1"/>
  <c r="F88" i="22"/>
  <c r="F96" i="22" l="1"/>
  <c r="F22" i="22"/>
  <c r="D45" i="21"/>
  <c r="F45" i="21" s="1"/>
  <c r="I73" i="7" s="1"/>
  <c r="N73" i="7" s="1"/>
  <c r="D92" i="21"/>
  <c r="F92" i="21" s="1"/>
  <c r="I85" i="7" s="1"/>
  <c r="N85" i="7" s="1"/>
  <c r="D84" i="21"/>
  <c r="F84" i="21" s="1"/>
  <c r="I169" i="7" s="1"/>
  <c r="N169" i="7" s="1"/>
  <c r="O217" i="8"/>
  <c r="F80" i="22"/>
  <c r="F44" i="22"/>
  <c r="F48" i="22"/>
  <c r="D33" i="21"/>
  <c r="F33" i="21" s="1"/>
  <c r="I54" i="7" s="1"/>
  <c r="N54" i="7" s="1"/>
  <c r="D27" i="21"/>
  <c r="F27" i="21" s="1"/>
  <c r="I41" i="7" s="1"/>
  <c r="N41" i="7" s="1"/>
  <c r="O212" i="8"/>
  <c r="J19" i="6"/>
  <c r="O213" i="8"/>
  <c r="O221" i="8"/>
  <c r="O222" i="8"/>
  <c r="F115" i="22"/>
  <c r="E122" i="21"/>
  <c r="I236" i="7" s="1"/>
  <c r="P141" i="7"/>
  <c r="I196" i="7"/>
  <c r="N197" i="7"/>
  <c r="N155" i="7"/>
  <c r="O155" i="7" s="1"/>
  <c r="I100" i="7"/>
  <c r="N100" i="7" s="1"/>
  <c r="N101" i="7"/>
  <c r="I158" i="8"/>
  <c r="O158" i="8" s="1"/>
  <c r="D46" i="21"/>
  <c r="F46" i="21" s="1"/>
  <c r="I72" i="7" s="1"/>
  <c r="N72" i="7" s="1"/>
  <c r="R211" i="8"/>
  <c r="I102" i="8"/>
  <c r="O102" i="8" s="1"/>
  <c r="D37" i="21"/>
  <c r="F37" i="21" s="1"/>
  <c r="I60" i="7" s="1"/>
  <c r="N60" i="7" s="1"/>
  <c r="I53" i="7"/>
  <c r="I97" i="8"/>
  <c r="O97" i="8" s="1"/>
  <c r="I138" i="7"/>
  <c r="N138" i="7" s="1"/>
  <c r="F99" i="22"/>
  <c r="D97" i="21"/>
  <c r="F97" i="21" s="1"/>
  <c r="I88" i="7" s="1"/>
  <c r="N88" i="7" s="1"/>
  <c r="F19" i="22"/>
  <c r="D19" i="21"/>
  <c r="F19" i="21" s="1"/>
  <c r="I25" i="7" s="1"/>
  <c r="N25" i="7" s="1"/>
  <c r="D12" i="21"/>
  <c r="F12" i="21" s="1"/>
  <c r="I18" i="7" s="1"/>
  <c r="N18" i="7" s="1"/>
  <c r="F12" i="22"/>
  <c r="F76" i="22"/>
  <c r="E76" i="21"/>
  <c r="F76" i="21" s="1"/>
  <c r="I146" i="7" s="1"/>
  <c r="N146" i="7" s="1"/>
  <c r="O66" i="8"/>
  <c r="O235" i="8"/>
  <c r="I237" i="8"/>
  <c r="O223" i="8"/>
  <c r="R225" i="8"/>
  <c r="R228" i="8" s="1"/>
  <c r="R249" i="8" s="1"/>
  <c r="F101" i="22"/>
  <c r="E99" i="21"/>
  <c r="F99" i="21" s="1"/>
  <c r="F56" i="22"/>
  <c r="E56" i="21"/>
  <c r="F56" i="21" s="1"/>
  <c r="I114" i="7" s="1"/>
  <c r="N114" i="7" s="1"/>
  <c r="D26" i="21"/>
  <c r="F26" i="21" s="1"/>
  <c r="I40" i="7" s="1"/>
  <c r="F26" i="22"/>
  <c r="O106" i="8"/>
  <c r="I123" i="8"/>
  <c r="F13" i="22"/>
  <c r="D13" i="21"/>
  <c r="F13" i="21" s="1"/>
  <c r="I19" i="7" s="1"/>
  <c r="N19" i="7" s="1"/>
  <c r="D31" i="21"/>
  <c r="F31" i="21" s="1"/>
  <c r="I48" i="7" s="1"/>
  <c r="N48" i="7" s="1"/>
  <c r="F31" i="22"/>
  <c r="I168" i="7"/>
  <c r="O258" i="8"/>
  <c r="I262" i="8"/>
  <c r="I198" i="8"/>
  <c r="F72" i="22"/>
  <c r="E72" i="21"/>
  <c r="F72" i="21" s="1"/>
  <c r="I140" i="7" s="1"/>
  <c r="N140" i="7" s="1"/>
  <c r="I178" i="8"/>
  <c r="O178" i="8" s="1"/>
  <c r="F43" i="22"/>
  <c r="D43" i="21"/>
  <c r="F43" i="21" s="1"/>
  <c r="I69" i="7" s="1"/>
  <c r="D288" i="22"/>
  <c r="F14" i="22"/>
  <c r="D14" i="21"/>
  <c r="F14" i="21" s="1"/>
  <c r="F110" i="22"/>
  <c r="E108" i="21"/>
  <c r="F108" i="21" s="1"/>
  <c r="I207" i="7" s="1"/>
  <c r="N207" i="7" s="1"/>
  <c r="E105" i="21"/>
  <c r="F105" i="21" s="1"/>
  <c r="I204" i="7" s="1"/>
  <c r="N204" i="7" s="1"/>
  <c r="F107" i="22"/>
  <c r="F30" i="22"/>
  <c r="D30" i="21"/>
  <c r="F30" i="21" s="1"/>
  <c r="I47" i="7" s="1"/>
  <c r="N47" i="7" s="1"/>
  <c r="O13" i="8"/>
  <c r="I18" i="8"/>
  <c r="O114" i="7"/>
  <c r="O115" i="7" s="1"/>
  <c r="J67" i="8"/>
  <c r="J68" i="8" s="1"/>
  <c r="J76" i="8" s="1"/>
  <c r="J92" i="8" s="1"/>
  <c r="J252" i="8" s="1"/>
  <c r="J254" i="8" s="1"/>
  <c r="J283" i="8" s="1"/>
  <c r="K67" i="8"/>
  <c r="K68" i="8" s="1"/>
  <c r="K76" i="8" s="1"/>
  <c r="K92" i="8" s="1"/>
  <c r="K252" i="8" s="1"/>
  <c r="K254" i="8" s="1"/>
  <c r="K283" i="8" s="1"/>
  <c r="I67" i="8"/>
  <c r="O67" i="8" s="1"/>
  <c r="M67" i="8"/>
  <c r="M68" i="8" s="1"/>
  <c r="M76" i="8" s="1"/>
  <c r="M92" i="8" s="1"/>
  <c r="M252" i="8" s="1"/>
  <c r="M254" i="8" s="1"/>
  <c r="M283" i="8" s="1"/>
  <c r="M284" i="8" s="1"/>
  <c r="F112" i="22"/>
  <c r="E110" i="21"/>
  <c r="F110" i="21" s="1"/>
  <c r="I209" i="7" s="1"/>
  <c r="N209" i="7" s="1"/>
  <c r="F15" i="21"/>
  <c r="I23" i="7" s="1"/>
  <c r="N23" i="7" s="1"/>
  <c r="F15" i="22"/>
  <c r="I90" i="8"/>
  <c r="F91" i="22"/>
  <c r="E89" i="21"/>
  <c r="F89" i="21" s="1"/>
  <c r="I178" i="7" s="1"/>
  <c r="N178" i="7" s="1"/>
  <c r="F74" i="22"/>
  <c r="E74" i="21"/>
  <c r="F74" i="21" s="1"/>
  <c r="I143" i="7" s="1"/>
  <c r="F86" i="22"/>
  <c r="E83" i="21"/>
  <c r="F83" i="21" s="1"/>
  <c r="I160" i="7" s="1"/>
  <c r="N160" i="7" s="1"/>
  <c r="F113" i="22"/>
  <c r="E111" i="21"/>
  <c r="F111" i="21" s="1"/>
  <c r="I210" i="7" s="1"/>
  <c r="N210" i="7" s="1"/>
  <c r="O21" i="8"/>
  <c r="I23" i="8"/>
  <c r="D91" i="21"/>
  <c r="F91" i="21" s="1"/>
  <c r="F93" i="22"/>
  <c r="O41" i="8"/>
  <c r="I55" i="8"/>
  <c r="E78" i="21"/>
  <c r="F78" i="21" s="1"/>
  <c r="I151" i="7" s="1"/>
  <c r="F79" i="22"/>
  <c r="F39" i="22"/>
  <c r="D39" i="21"/>
  <c r="F39" i="21" s="1"/>
  <c r="I62" i="7" s="1"/>
  <c r="N62" i="7" s="1"/>
  <c r="D28" i="21"/>
  <c r="F28" i="21" s="1"/>
  <c r="I44" i="7" s="1"/>
  <c r="F28" i="22"/>
  <c r="F114" i="22"/>
  <c r="E112" i="21"/>
  <c r="F112" i="21" s="1"/>
  <c r="I211" i="7" s="1"/>
  <c r="N211" i="7" s="1"/>
  <c r="O49" i="8"/>
  <c r="P49" i="8"/>
  <c r="I63" i="8"/>
  <c r="O58" i="8"/>
  <c r="F17" i="22"/>
  <c r="D17" i="21"/>
  <c r="F17" i="21" s="1"/>
  <c r="I28" i="7" s="1"/>
  <c r="N28" i="7" s="1"/>
  <c r="F21" i="22"/>
  <c r="E278" i="22"/>
  <c r="O26" i="8"/>
  <c r="I29" i="8"/>
  <c r="E62" i="21"/>
  <c r="F62" i="21" s="1"/>
  <c r="I125" i="7" s="1"/>
  <c r="N125" i="7" s="1"/>
  <c r="F62" i="22"/>
  <c r="O265" i="8"/>
  <c r="I270" i="8"/>
  <c r="O270" i="8" s="1"/>
  <c r="D81" i="21"/>
  <c r="F81" i="21" s="1"/>
  <c r="I159" i="7" s="1"/>
  <c r="N159" i="7" s="1"/>
  <c r="F83" i="22"/>
  <c r="E119" i="21"/>
  <c r="F119" i="21" s="1"/>
  <c r="I222" i="7" s="1"/>
  <c r="F121" i="22"/>
  <c r="F108" i="22"/>
  <c r="E106" i="21"/>
  <c r="F106" i="21" s="1"/>
  <c r="I205" i="7" s="1"/>
  <c r="N205" i="7" s="1"/>
  <c r="D90" i="21"/>
  <c r="F90" i="21" s="1"/>
  <c r="I83" i="7" s="1"/>
  <c r="N83" i="7" s="1"/>
  <c r="F92" i="22"/>
  <c r="F58" i="22"/>
  <c r="E58" i="21"/>
  <c r="F58" i="21" s="1"/>
  <c r="I117" i="7" s="1"/>
  <c r="N117" i="7" s="1"/>
  <c r="E114" i="21"/>
  <c r="F114" i="21" s="1"/>
  <c r="I213" i="7" s="1"/>
  <c r="N213" i="7" s="1"/>
  <c r="F116" i="22"/>
  <c r="D95" i="21"/>
  <c r="F95" i="21" s="1"/>
  <c r="I90" i="7" s="1"/>
  <c r="N90" i="7" s="1"/>
  <c r="F97" i="22"/>
  <c r="F105" i="22"/>
  <c r="E103" i="21"/>
  <c r="F103" i="21" s="1"/>
  <c r="I202" i="7" s="1"/>
  <c r="N202" i="7" s="1"/>
  <c r="E121" i="21"/>
  <c r="F121" i="21" s="1"/>
  <c r="I225" i="7" s="1"/>
  <c r="F123" i="22"/>
  <c r="E115" i="21"/>
  <c r="F115" i="21" s="1"/>
  <c r="I218" i="7" s="1"/>
  <c r="N218" i="7" s="1"/>
  <c r="F117" i="22"/>
  <c r="F119" i="22"/>
  <c r="E117" i="21"/>
  <c r="F117" i="21" s="1"/>
  <c r="I219" i="7" s="1"/>
  <c r="N219" i="7" s="1"/>
  <c r="F104" i="22"/>
  <c r="E102" i="21"/>
  <c r="F102" i="21" s="1"/>
  <c r="I201" i="7" s="1"/>
  <c r="N201" i="7" s="1"/>
  <c r="O161" i="8"/>
  <c r="I173" i="8"/>
  <c r="F16" i="22"/>
  <c r="D16" i="21"/>
  <c r="F16" i="21" s="1"/>
  <c r="I24" i="7" s="1"/>
  <c r="N24" i="7" s="1"/>
  <c r="F90" i="22"/>
  <c r="D88" i="21"/>
  <c r="F88" i="21" s="1"/>
  <c r="I177" i="7" s="1"/>
  <c r="N177" i="7" s="1"/>
  <c r="D10" i="4"/>
  <c r="E86" i="21"/>
  <c r="F86" i="21" s="1"/>
  <c r="I165" i="7" s="1"/>
  <c r="F89" i="22"/>
  <c r="I105" i="7"/>
  <c r="N105" i="7" s="1"/>
  <c r="O206" i="8"/>
  <c r="F18" i="15"/>
  <c r="F81" i="22"/>
  <c r="E80" i="21"/>
  <c r="F80" i="21" s="1"/>
  <c r="I156" i="7" s="1"/>
  <c r="N156" i="7" s="1"/>
  <c r="F106" i="22"/>
  <c r="E104" i="21"/>
  <c r="F104" i="21" s="1"/>
  <c r="I203" i="7" s="1"/>
  <c r="N203" i="7" s="1"/>
  <c r="E66" i="21"/>
  <c r="F66" i="21" s="1"/>
  <c r="I131" i="7" s="1"/>
  <c r="N131" i="7" s="1"/>
  <c r="F66" i="22"/>
  <c r="I77" i="7"/>
  <c r="F111" i="22"/>
  <c r="E109" i="21"/>
  <c r="F109" i="21" s="1"/>
  <c r="I208" i="7" s="1"/>
  <c r="N208" i="7" s="1"/>
  <c r="E116" i="21"/>
  <c r="F116" i="21" s="1"/>
  <c r="I217" i="7" s="1"/>
  <c r="N217" i="7" s="1"/>
  <c r="F118" i="22"/>
  <c r="E101" i="21"/>
  <c r="F101" i="21" s="1"/>
  <c r="I200" i="7" s="1"/>
  <c r="N200" i="7" s="1"/>
  <c r="F103" i="22"/>
  <c r="F54" i="22"/>
  <c r="E54" i="21"/>
  <c r="F54" i="21" s="1"/>
  <c r="I109" i="7" s="1"/>
  <c r="N109" i="7" s="1"/>
  <c r="D42" i="21"/>
  <c r="F42" i="21" s="1"/>
  <c r="I64" i="7" s="1"/>
  <c r="N64" i="7" s="1"/>
  <c r="F42" i="22"/>
  <c r="F68" i="22"/>
  <c r="E68" i="21"/>
  <c r="F68" i="21" s="1"/>
  <c r="I134" i="7" s="1"/>
  <c r="D289" i="22"/>
  <c r="F24" i="22"/>
  <c r="D24" i="21"/>
  <c r="F24" i="21" s="1"/>
  <c r="I35" i="7" s="1"/>
  <c r="I228" i="8"/>
  <c r="I38" i="8"/>
  <c r="O38" i="8" s="1"/>
  <c r="O36" i="8"/>
  <c r="F64" i="22"/>
  <c r="E64" i="21"/>
  <c r="F64" i="21" s="1"/>
  <c r="I128" i="7" s="1"/>
  <c r="N128" i="7" s="1"/>
  <c r="O173" i="8" l="1"/>
  <c r="N168" i="7"/>
  <c r="O228" i="8"/>
  <c r="O249" i="8" s="1"/>
  <c r="I249" i="8"/>
  <c r="F19" i="15" s="1"/>
  <c r="I238" i="7"/>
  <c r="N238" i="7" s="1"/>
  <c r="N236" i="7"/>
  <c r="R53" i="7"/>
  <c r="N53" i="7"/>
  <c r="I43" i="7"/>
  <c r="N143" i="7"/>
  <c r="Q143" i="7" s="1"/>
  <c r="I224" i="7"/>
  <c r="N224" i="7" s="1"/>
  <c r="N225" i="7"/>
  <c r="R77" i="7"/>
  <c r="N77" i="7"/>
  <c r="I152" i="7"/>
  <c r="N151" i="7"/>
  <c r="I166" i="7"/>
  <c r="N165" i="7"/>
  <c r="I33" i="7"/>
  <c r="N33" i="7" s="1"/>
  <c r="N35" i="7"/>
  <c r="I221" i="7"/>
  <c r="N222" i="7"/>
  <c r="I135" i="7"/>
  <c r="N135" i="7" s="1"/>
  <c r="N134" i="7"/>
  <c r="I67" i="7"/>
  <c r="N69" i="7"/>
  <c r="I38" i="7"/>
  <c r="N38" i="7" s="1"/>
  <c r="N40" i="7"/>
  <c r="I32" i="16"/>
  <c r="N196" i="7"/>
  <c r="I58" i="7"/>
  <c r="I132" i="7"/>
  <c r="N132" i="7" s="1"/>
  <c r="E282" i="21"/>
  <c r="F122" i="21"/>
  <c r="I48" i="16"/>
  <c r="I50" i="16" s="1"/>
  <c r="I17" i="7"/>
  <c r="N17" i="7" s="1"/>
  <c r="I46" i="7"/>
  <c r="I199" i="7"/>
  <c r="I68" i="8"/>
  <c r="I76" i="8" s="1"/>
  <c r="I92" i="8" s="1"/>
  <c r="I129" i="7"/>
  <c r="N129" i="7" s="1"/>
  <c r="I144" i="7"/>
  <c r="N144" i="7" s="1"/>
  <c r="I87" i="7"/>
  <c r="N87" i="7" s="1"/>
  <c r="I118" i="7"/>
  <c r="N118" i="7" s="1"/>
  <c r="O90" i="8"/>
  <c r="P199" i="8"/>
  <c r="I201" i="8"/>
  <c r="I157" i="7"/>
  <c r="N157" i="7" s="1"/>
  <c r="O156" i="7"/>
  <c r="R156" i="7"/>
  <c r="U237" i="8"/>
  <c r="U249" i="8" s="1"/>
  <c r="P237" i="8"/>
  <c r="P249" i="8" s="1"/>
  <c r="F20" i="15"/>
  <c r="E285" i="22"/>
  <c r="E286" i="22"/>
  <c r="U121" i="8"/>
  <c r="O123" i="8"/>
  <c r="H52" i="21"/>
  <c r="I147" i="7"/>
  <c r="N147" i="7" s="1"/>
  <c r="O146" i="7" s="1"/>
  <c r="I31" i="8"/>
  <c r="F11" i="15"/>
  <c r="O29" i="8"/>
  <c r="D290" i="22"/>
  <c r="O18" i="8"/>
  <c r="F9" i="15"/>
  <c r="I215" i="7"/>
  <c r="F21" i="21"/>
  <c r="I27" i="7" s="1"/>
  <c r="E275" i="21"/>
  <c r="I115" i="7"/>
  <c r="N115" i="7" s="1"/>
  <c r="O116" i="7"/>
  <c r="O117" i="7" s="1"/>
  <c r="R114" i="7"/>
  <c r="I193" i="7"/>
  <c r="H55" i="21"/>
  <c r="I84" i="7"/>
  <c r="I161" i="7"/>
  <c r="N161" i="7" s="1"/>
  <c r="O23" i="8"/>
  <c r="F10" i="15"/>
  <c r="R168" i="7"/>
  <c r="I126" i="7"/>
  <c r="I110" i="7"/>
  <c r="I179" i="7"/>
  <c r="O262" i="8"/>
  <c r="I272" i="8"/>
  <c r="I141" i="7"/>
  <c r="N141" i="7" s="1"/>
  <c r="I65" i="16" l="1"/>
  <c r="I51" i="7"/>
  <c r="N126" i="7"/>
  <c r="I120" i="7"/>
  <c r="I36" i="16"/>
  <c r="I163" i="7"/>
  <c r="N163" i="7" s="1"/>
  <c r="N166" i="7"/>
  <c r="I149" i="7"/>
  <c r="N152" i="7"/>
  <c r="O152" i="7" s="1"/>
  <c r="I191" i="7"/>
  <c r="N193" i="7"/>
  <c r="I13" i="16"/>
  <c r="N51" i="7"/>
  <c r="I82" i="7"/>
  <c r="N82" i="7" s="1"/>
  <c r="N84" i="7"/>
  <c r="I22" i="7"/>
  <c r="N22" i="7" s="1"/>
  <c r="N27" i="7"/>
  <c r="R58" i="7"/>
  <c r="N58" i="7"/>
  <c r="R67" i="7"/>
  <c r="N67" i="7"/>
  <c r="I34" i="16"/>
  <c r="N215" i="7"/>
  <c r="I33" i="16"/>
  <c r="N199" i="7"/>
  <c r="I176" i="7"/>
  <c r="N179" i="7"/>
  <c r="I107" i="7"/>
  <c r="N110" i="7"/>
  <c r="I31" i="7"/>
  <c r="N46" i="7"/>
  <c r="I35" i="16"/>
  <c r="N221" i="7"/>
  <c r="I61" i="16"/>
  <c r="D285" i="4"/>
  <c r="O92" i="8"/>
  <c r="F16" i="15"/>
  <c r="O150" i="7"/>
  <c r="O151" i="7"/>
  <c r="O272" i="8"/>
  <c r="F25" i="15"/>
  <c r="F13" i="15"/>
  <c r="O201" i="8"/>
  <c r="F17" i="15"/>
  <c r="I252" i="8"/>
  <c r="O252" i="8" s="1"/>
  <c r="I154" i="7"/>
  <c r="O31" i="8"/>
  <c r="E286" i="21"/>
  <c r="E283" i="21"/>
  <c r="I112" i="7"/>
  <c r="G10" i="4"/>
  <c r="D277" i="4"/>
  <c r="D10" i="22"/>
  <c r="N120" i="7" l="1"/>
  <c r="N112" i="7"/>
  <c r="N154" i="7"/>
  <c r="N107" i="7"/>
  <c r="I103" i="7"/>
  <c r="I80" i="7"/>
  <c r="I14" i="16" s="1"/>
  <c r="O153" i="7"/>
  <c r="I12" i="16"/>
  <c r="N31" i="7"/>
  <c r="I31" i="16"/>
  <c r="I38" i="16" s="1"/>
  <c r="I42" i="16" s="1"/>
  <c r="N191" i="7"/>
  <c r="N149" i="7"/>
  <c r="R149" i="7"/>
  <c r="I228" i="7"/>
  <c r="I21" i="16"/>
  <c r="N176" i="7"/>
  <c r="D285" i="21"/>
  <c r="O118" i="7"/>
  <c r="P156" i="7"/>
  <c r="D286" i="4"/>
  <c r="E278" i="4"/>
  <c r="G277" i="4"/>
  <c r="G278" i="4" s="1"/>
  <c r="G279" i="4" s="1"/>
  <c r="H56" i="4"/>
  <c r="D278" i="22"/>
  <c r="D10" i="21"/>
  <c r="F10" i="22"/>
  <c r="F278" i="22" s="1"/>
  <c r="F279" i="22" s="1"/>
  <c r="O147" i="7"/>
  <c r="Q124" i="7"/>
  <c r="Q127" i="7" s="1"/>
  <c r="Q129" i="7" s="1"/>
  <c r="P149" i="7"/>
  <c r="I254" i="8"/>
  <c r="I283" i="8" s="1"/>
  <c r="F21" i="15"/>
  <c r="F23" i="15" s="1"/>
  <c r="F29" i="15" s="1"/>
  <c r="N103" i="7" l="1"/>
  <c r="N80" i="7"/>
  <c r="I55" i="21"/>
  <c r="N228" i="7"/>
  <c r="F280" i="22"/>
  <c r="I182" i="7"/>
  <c r="N182" i="7" s="1"/>
  <c r="I18" i="16"/>
  <c r="I22" i="16" s="1"/>
  <c r="F10" i="21"/>
  <c r="D275" i="21"/>
  <c r="D285" i="22"/>
  <c r="E279" i="22"/>
  <c r="D286" i="22"/>
  <c r="F30" i="15"/>
  <c r="O254" i="8"/>
  <c r="I29" i="15" l="1"/>
  <c r="J18" i="6"/>
  <c r="O283" i="8"/>
  <c r="D291" i="22"/>
  <c r="M22" i="16"/>
  <c r="I23" i="16"/>
  <c r="D283" i="21"/>
  <c r="D286" i="21"/>
  <c r="E276" i="21"/>
  <c r="I14" i="7"/>
  <c r="F275" i="21"/>
  <c r="F276" i="21" s="1"/>
  <c r="F277" i="21" s="1"/>
  <c r="H51" i="21"/>
  <c r="H53" i="21" s="1"/>
  <c r="J22" i="6" l="1"/>
  <c r="O25" i="6" s="1"/>
  <c r="I13" i="7"/>
  <c r="N14" i="7"/>
  <c r="I284" i="8"/>
  <c r="P287" i="8"/>
  <c r="I291" i="8"/>
  <c r="H56" i="21"/>
  <c r="I241" i="7" l="1"/>
  <c r="J31" i="6"/>
  <c r="J23" i="6"/>
  <c r="AC15" i="6" s="1"/>
  <c r="I11" i="7"/>
  <c r="N13" i="7"/>
  <c r="Q17" i="6" l="1"/>
  <c r="Q22" i="6"/>
  <c r="N11" i="7"/>
  <c r="I11" i="16"/>
  <c r="I15" i="16" s="1"/>
  <c r="I97" i="7"/>
  <c r="N97" i="7" l="1"/>
  <c r="I56" i="4"/>
  <c r="I184" i="7"/>
  <c r="N15" i="16"/>
  <c r="I16" i="16"/>
  <c r="I26" i="16"/>
  <c r="I27" i="16" l="1"/>
  <c r="I44" i="16"/>
  <c r="I51" i="16" s="1"/>
  <c r="N184" i="7"/>
  <c r="Q184" i="7"/>
  <c r="I230" i="7"/>
  <c r="H54" i="21"/>
  <c r="I239" i="7" l="1"/>
  <c r="N230" i="7"/>
  <c r="R91" i="8"/>
</calcChain>
</file>

<file path=xl/comments1.xml><?xml version="1.0" encoding="utf-8"?>
<comments xmlns="http://schemas.openxmlformats.org/spreadsheetml/2006/main">
  <authors>
    <author>user</author>
  </authors>
  <commentList>
    <comment ref="C16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DBP
</t>
        </r>
      </text>
    </comment>
    <comment ref="C17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LBP</t>
        </r>
      </text>
    </comment>
    <comment ref="C18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Postal Savings</t>
        </r>
      </text>
    </comment>
  </commentList>
</comments>
</file>

<file path=xl/comments2.xml><?xml version="1.0" encoding="utf-8"?>
<comments xmlns="http://schemas.openxmlformats.org/spreadsheetml/2006/main">
  <authors>
    <author>user</author>
    <author>Valene G. Miñoza</author>
  </authors>
  <commentList>
    <comment ref="C12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DBP
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LBP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Postal Savings</t>
        </r>
      </text>
    </comment>
    <comment ref="C274" authorId="1" shapeId="0">
      <text>
        <r>
          <rPr>
            <b/>
            <sz val="9"/>
            <color indexed="81"/>
            <rFont val="Tahoma"/>
            <family val="2"/>
          </rPr>
          <t>Valene G. Miñoza:</t>
        </r>
        <r>
          <rPr>
            <sz val="9"/>
            <color indexed="81"/>
            <rFont val="Tahoma"/>
            <family val="2"/>
          </rPr>
          <t xml:space="preserve">
Newly set up as of 12.31.2024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C12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DBP
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LBP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Postal Savings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C12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DBP
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LBP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Postal Savings</t>
        </r>
      </text>
    </comment>
  </commentList>
</comments>
</file>

<file path=xl/comments5.xml><?xml version="1.0" encoding="utf-8"?>
<comments xmlns="http://schemas.openxmlformats.org/spreadsheetml/2006/main">
  <authors>
    <author>user</author>
  </authors>
  <commentList>
    <comment ref="C12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DBP
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LBP</t>
        </r>
      </text>
    </comment>
    <comment ref="C15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Postal Savings</t>
        </r>
      </text>
    </comment>
  </commentList>
</comments>
</file>

<file path=xl/sharedStrings.xml><?xml version="1.0" encoding="utf-8"?>
<sst xmlns="http://schemas.openxmlformats.org/spreadsheetml/2006/main" count="2012" uniqueCount="572">
  <si>
    <t>DEPARTMENT OF SOCIAL WELFARE &amp; DEVELOPMENT</t>
  </si>
  <si>
    <t>Field Office No. 10</t>
  </si>
  <si>
    <t>Cash - Collecting Officers</t>
  </si>
  <si>
    <t>Petty Cash Fund</t>
  </si>
  <si>
    <t>Accounts Receivable</t>
  </si>
  <si>
    <t>Due from Officers and Employees</t>
  </si>
  <si>
    <t>Loan Receivable - Others</t>
  </si>
  <si>
    <t>Due from NGAs</t>
  </si>
  <si>
    <t>Due from GOCCs</t>
  </si>
  <si>
    <t>Due from LGUs</t>
  </si>
  <si>
    <t>Due from NGOs/POs</t>
  </si>
  <si>
    <t>Due from Other Funds</t>
  </si>
  <si>
    <t>Advances to Officers and Employees</t>
  </si>
  <si>
    <t>Other Receivables</t>
  </si>
  <si>
    <t>Office Supplies Inventory</t>
  </si>
  <si>
    <t>Food Supplies Inventory</t>
  </si>
  <si>
    <t>Drugs and Medicines Inventory</t>
  </si>
  <si>
    <t>Gasoline, Oil and Lubricants Inventory</t>
  </si>
  <si>
    <t>Construction Materials Inventory</t>
  </si>
  <si>
    <t>Other Prepaid Expenses</t>
  </si>
  <si>
    <t>Other Investments and Marketable Securities</t>
  </si>
  <si>
    <t>Land</t>
  </si>
  <si>
    <t>Land Improvements</t>
  </si>
  <si>
    <t>Office Buildings</t>
  </si>
  <si>
    <t>Other Structures</t>
  </si>
  <si>
    <t>Office Equipment</t>
  </si>
  <si>
    <t>Communication Equipment</t>
  </si>
  <si>
    <t>Sports Equipment</t>
  </si>
  <si>
    <t>Motor Vehicles</t>
  </si>
  <si>
    <t>Accounts Payable</t>
  </si>
  <si>
    <t>Due to BIR</t>
  </si>
  <si>
    <t>Due to GSIS</t>
  </si>
  <si>
    <t>Due to PAG-IBIG</t>
  </si>
  <si>
    <t>Due to PHILHEALTH</t>
  </si>
  <si>
    <t>Due to LGUs</t>
  </si>
  <si>
    <t>Due to Central Office</t>
  </si>
  <si>
    <t>Due to Regional Offices/Staff Bureaus</t>
  </si>
  <si>
    <t>Other Payables</t>
  </si>
  <si>
    <t>Representation Allowance</t>
  </si>
  <si>
    <t>Transportation Allowance</t>
  </si>
  <si>
    <t>Clothing/Uniform Allowance</t>
  </si>
  <si>
    <t>Cash Gift</t>
  </si>
  <si>
    <t>Traveling Expense-Local</t>
  </si>
  <si>
    <t>Training Expenses</t>
  </si>
  <si>
    <t>Scholarship Expenses</t>
  </si>
  <si>
    <t>Office Supplies Expenses</t>
  </si>
  <si>
    <t>Accountable Forms Expenses</t>
  </si>
  <si>
    <t>Food Supplies Expenses</t>
  </si>
  <si>
    <t>Drugs and Medicines Expenses</t>
  </si>
  <si>
    <t>Medical,Dental &amp; Laboratory Supplies Expenses</t>
  </si>
  <si>
    <t>Other Supplies Expenses</t>
  </si>
  <si>
    <t>Water Expenses</t>
  </si>
  <si>
    <t>Electricity Expenses</t>
  </si>
  <si>
    <t>Postage and Deliveries</t>
  </si>
  <si>
    <t>Telephone Expenses-Landline</t>
  </si>
  <si>
    <t>Telephone Expenses-Mobile</t>
  </si>
  <si>
    <t>Cable, Satellite, Telegraph and Radio Expenses</t>
  </si>
  <si>
    <t>Membership Dues &amp; Contributions to Organization</t>
  </si>
  <si>
    <t>Advertising Expenses</t>
  </si>
  <si>
    <t>Representation Expenses</t>
  </si>
  <si>
    <t>Transportation and Delivery Expenses</t>
  </si>
  <si>
    <t>Subscription Expenses</t>
  </si>
  <si>
    <t>Auditing Services</t>
  </si>
  <si>
    <t>Consultancy Services</t>
  </si>
  <si>
    <t>Janitorial Services</t>
  </si>
  <si>
    <t>Security Services</t>
  </si>
  <si>
    <t>Other Professional Services</t>
  </si>
  <si>
    <t>Repairs and Maintenance - Furniture and Fixtures</t>
  </si>
  <si>
    <t>Repairs and Maintenance - Other PP &amp; E</t>
  </si>
  <si>
    <t>Donations</t>
  </si>
  <si>
    <t>Fidelity Bond Premiums</t>
  </si>
  <si>
    <t>Insurance Expenses</t>
  </si>
  <si>
    <t>Depreciation - Building</t>
  </si>
  <si>
    <t>Depreciation - Office Equipment</t>
  </si>
  <si>
    <t>Depreciation - Furniture &amp; Fixtures</t>
  </si>
  <si>
    <t>Depreciation - IT Equipment</t>
  </si>
  <si>
    <t>Depreciation - Communication Equipment</t>
  </si>
  <si>
    <t>Depreciation - Sports Equipment</t>
  </si>
  <si>
    <t>Depreciation - Motor Vehicles</t>
  </si>
  <si>
    <t>Depreciation - Other Property, Plant &amp; Equipment</t>
  </si>
  <si>
    <t>Other Maintenance and Operating Expenses</t>
  </si>
  <si>
    <t>Account Title</t>
  </si>
  <si>
    <t>Account</t>
  </si>
  <si>
    <t>Code</t>
  </si>
  <si>
    <t>Debit</t>
  </si>
  <si>
    <t>Credit</t>
  </si>
  <si>
    <t>Furniture and Fixtures</t>
  </si>
  <si>
    <t>Other Property, Plant and Equipment</t>
  </si>
  <si>
    <t>Accumulated Depreciation-Office Equipment</t>
  </si>
  <si>
    <t>Accumulated Depreciation-Furniture and Fixtures</t>
  </si>
  <si>
    <t>Accumulated Depreciation-Communication Equipment</t>
  </si>
  <si>
    <t>Accumulated Depreciation-Sports Equipment</t>
  </si>
  <si>
    <t>Accumulated Depreciation-Motor Vehicles</t>
  </si>
  <si>
    <t>Accumulated Depreciation-Other Property, Plant and Equipment</t>
  </si>
  <si>
    <t>TOTAL</t>
  </si>
  <si>
    <t>Certified Correct:</t>
  </si>
  <si>
    <t>Year-End Bonus</t>
  </si>
  <si>
    <t>Cash-National Treasury, Modified Disbursement System, Regular</t>
  </si>
  <si>
    <t>Cash in Bank-Local Currency, Current Account - DBP</t>
  </si>
  <si>
    <t>Cash in Bank-Local Currency, Current Account - LBP</t>
  </si>
  <si>
    <t>Cash in Bank-Local Currency, Current Account - Postal Savings</t>
  </si>
  <si>
    <t>Books</t>
  </si>
  <si>
    <t>Information and Communication Technology Equipment</t>
  </si>
  <si>
    <t>Disaster Response and Rescue Equipment</t>
  </si>
  <si>
    <t>Medical Equipment</t>
  </si>
  <si>
    <t>Other Machinery &amp; Equipment</t>
  </si>
  <si>
    <t>Accumulated Depreciation-Other Structures</t>
  </si>
  <si>
    <t>Accumulated Depreciation-Books</t>
  </si>
  <si>
    <t>Accumulated Depreciation-Disaster Response and Rescue Equipment</t>
  </si>
  <si>
    <t>Accumulated Depreciation-Medical Equipment</t>
  </si>
  <si>
    <t>Accumulated Depreciation-Other Machinery &amp; Equipment</t>
  </si>
  <si>
    <t>Licensing Fees</t>
  </si>
  <si>
    <t>Other Permit Fees</t>
  </si>
  <si>
    <t>Registration Fees</t>
  </si>
  <si>
    <t>Income from Grants and Donations in Cash</t>
  </si>
  <si>
    <t>Income from Grants and Donations in Kind</t>
  </si>
  <si>
    <t>Fines and Penalties - Service Income</t>
  </si>
  <si>
    <t>Affiliation Fees</t>
  </si>
  <si>
    <t>Rent/Lease Income</t>
  </si>
  <si>
    <t>Income from Hostels/Dormitories and Other Like Facilities</t>
  </si>
  <si>
    <t>Interest Income</t>
  </si>
  <si>
    <t>Other Gains</t>
  </si>
  <si>
    <t>Salaries and Wages - Regular Pay (Civilian)</t>
  </si>
  <si>
    <t>Salaries and Wages - Casual and Contracutal</t>
  </si>
  <si>
    <t>Personnel Economic Relief Allowance (Civilian)</t>
  </si>
  <si>
    <t>Honoraria (Civilian)</t>
  </si>
  <si>
    <t>Hazard Pay (Civilian)</t>
  </si>
  <si>
    <t>Longevity Pay (Civilian)</t>
  </si>
  <si>
    <t>Subsistence Allowance - Magna Carta Benefits for Public Health Workers under RA 7305</t>
  </si>
  <si>
    <t>Subsistence Allowance - Magna Carta Benefits for Public Social Workers under RA 9432</t>
  </si>
  <si>
    <t>Laundry Allowance- Magna Carta Benefits for Public Health Workers under RA 7305</t>
  </si>
  <si>
    <t>Quarters Allowance- Magna Carta Benefits for Public Health Workers under RA 7305</t>
  </si>
  <si>
    <t>Productivity Incentive Allowance (Civilian)</t>
  </si>
  <si>
    <t>Collective Negotiation Agreement Incentive (Civilian)</t>
  </si>
  <si>
    <t>Productivity Enhancement Incentive (Civilian)</t>
  </si>
  <si>
    <t>Performance Based Bonus (Civilian)</t>
  </si>
  <si>
    <t>Overtime Pay</t>
  </si>
  <si>
    <t>Life and Retirement Insurance Premiums</t>
  </si>
  <si>
    <t>PAG-IBIG Contributions (Civilian)</t>
  </si>
  <si>
    <t>PhilHealth Contributions (Civilian)</t>
  </si>
  <si>
    <t>Employees Compensation Insurance Premium (Civilian)</t>
  </si>
  <si>
    <t>Pension Benefits (Civilian)</t>
  </si>
  <si>
    <t>Retirement Gratuity (Civilian)</t>
  </si>
  <si>
    <t>Terminal Leave Benefits (Civilian)</t>
  </si>
  <si>
    <t>Welfare Goods Expenses</t>
  </si>
  <si>
    <t>Fuel, Oil and Lubricants Expenses</t>
  </si>
  <si>
    <t>Internet Subscription Expenses</t>
  </si>
  <si>
    <t>Awards/Rewards Expenses</t>
  </si>
  <si>
    <t>Printing and Publication Expenses</t>
  </si>
  <si>
    <t>Rents - Buildings and Structures</t>
  </si>
  <si>
    <t>Rents - Motor Vehicles</t>
  </si>
  <si>
    <t>Rents - Equipment</t>
  </si>
  <si>
    <t>Rents - Living Quarters</t>
  </si>
  <si>
    <t>Operating Lease</t>
  </si>
  <si>
    <t>Legal Services</t>
  </si>
  <si>
    <t>Repairs and Maintenance - Building and Other Structures - Buildings</t>
  </si>
  <si>
    <t>Repairs and Maintenance - Building and Other Structures - Hostels and Dormitories</t>
  </si>
  <si>
    <t>Repairs and Maintenance - Building and Other Structures - Other Structures</t>
  </si>
  <si>
    <t>Repairs and Maintenance - Leased Assets Improvements</t>
  </si>
  <si>
    <t>Repairs and Maintenance - Machinery and Equipment - Office Equipment</t>
  </si>
  <si>
    <t>Repairs and Maintenance - Machinery and Equipment - IT Equipment</t>
  </si>
  <si>
    <t>Repairs and Maintenance - Machinery and Equipment - Communication Equipment</t>
  </si>
  <si>
    <t>Repairs and Maintenance - Machinery and Equipment - Other Machinery and Equipment</t>
  </si>
  <si>
    <t>Repairs and Maintenance - Transportation Equipment - Motor Vehicles</t>
  </si>
  <si>
    <t>Financial Assistance to NGAs</t>
  </si>
  <si>
    <t>Financial Assistance to LGUs</t>
  </si>
  <si>
    <t>Financial Assistance to NGOs/POs</t>
  </si>
  <si>
    <t>Subsidies - Others</t>
  </si>
  <si>
    <t>Bank Charges</t>
  </si>
  <si>
    <t>Extraordinary &amp; Miscellaneous Expenses</t>
  </si>
  <si>
    <t>Labor and Wages</t>
  </si>
  <si>
    <t>Depreciation - Other Structures</t>
  </si>
  <si>
    <t>Depreciation - Books</t>
  </si>
  <si>
    <t>Depreciation - Disaster Response and Rescue Equipment</t>
  </si>
  <si>
    <t>Depreciation - Medical Equipment</t>
  </si>
  <si>
    <t>Depreciation - Other Machinery &amp; Equipment</t>
  </si>
  <si>
    <t>Loss of Assets</t>
  </si>
  <si>
    <t>Other Losses</t>
  </si>
  <si>
    <t>UACS</t>
  </si>
  <si>
    <t>Cash - Treasury/Agency Deposit, Regular</t>
  </si>
  <si>
    <t>Cash - Treasury/Agency Deposit, Trust</t>
  </si>
  <si>
    <t>Cash - MDS, Trust</t>
  </si>
  <si>
    <t>P</t>
  </si>
  <si>
    <t>ASSETS</t>
  </si>
  <si>
    <t>Current Assets</t>
  </si>
  <si>
    <t>Receivables</t>
  </si>
  <si>
    <t>Inventories</t>
  </si>
  <si>
    <t>Long-term Invesments</t>
  </si>
  <si>
    <t>Property, Plant and Equipment</t>
  </si>
  <si>
    <t>Furniture &amp; Fixtures</t>
  </si>
  <si>
    <t>Other Property, Plant &amp; Equipment</t>
  </si>
  <si>
    <t>TOTAL ASSETS</t>
  </si>
  <si>
    <t>Liabilities</t>
  </si>
  <si>
    <t>Current Liabilities</t>
  </si>
  <si>
    <t>Miscellaneous Income</t>
  </si>
  <si>
    <t>Cash in Bank-LCCA - DBP</t>
  </si>
  <si>
    <t>Cash in Bank-LCCA - Postal</t>
  </si>
  <si>
    <t>POST-CLOSING TRIAL BALANCE</t>
  </si>
  <si>
    <t>PRE-CLOSING TRIAL BALANCE</t>
  </si>
  <si>
    <t>Personal Services</t>
  </si>
  <si>
    <t>Maintenance and Other Operating Expenses</t>
  </si>
  <si>
    <t>Service Income</t>
  </si>
  <si>
    <t>Permit Fees</t>
  </si>
  <si>
    <t>Clearance and Certification Fees</t>
  </si>
  <si>
    <t>Income from Dormitories and Other Like Facilities</t>
  </si>
  <si>
    <t>Other Income</t>
  </si>
  <si>
    <t>NonCash Expenses</t>
  </si>
  <si>
    <t>Other Assets</t>
  </si>
  <si>
    <t>Other General Services</t>
  </si>
  <si>
    <t>Generation, Transmission and Distribution Expenses</t>
  </si>
  <si>
    <t>Prizes</t>
  </si>
  <si>
    <t>Other Supplies and Materials Expenses</t>
  </si>
  <si>
    <t>Retirement and Life Insurance Premiums</t>
  </si>
  <si>
    <t>Other Bonuses and Allowances</t>
  </si>
  <si>
    <t>Overtime and Night Pay</t>
  </si>
  <si>
    <t>Salaries and Wages - Regular</t>
  </si>
  <si>
    <t xml:space="preserve">Other Gains </t>
  </si>
  <si>
    <t>Subsidy from Other National Government Agencies</t>
  </si>
  <si>
    <t>Subsidy from National Government</t>
  </si>
  <si>
    <t>Trust Liabilities - Disaster Risk Reduction and Management Fund</t>
  </si>
  <si>
    <t>Trust Liabilities</t>
  </si>
  <si>
    <t>Due to Regional Offices</t>
  </si>
  <si>
    <t>Finance Lease Payable</t>
  </si>
  <si>
    <t>Guaranty Deposits</t>
  </si>
  <si>
    <t>Prepaid Insurance</t>
  </si>
  <si>
    <t>Prepaid Rent</t>
  </si>
  <si>
    <t>Advances to Contractors</t>
  </si>
  <si>
    <t>Advances to Special Disbursing Officer</t>
  </si>
  <si>
    <t>Advances for Payroll</t>
  </si>
  <si>
    <t>Computer Software</t>
  </si>
  <si>
    <t>Construction in Progress - Buildings and Other Structures</t>
  </si>
  <si>
    <t>Accumulated Depreciation - Sports Equipment</t>
  </si>
  <si>
    <t>Accumulated Depreciation - Medical Equipment</t>
  </si>
  <si>
    <t>Accumulated Depreciation - Office Equipment</t>
  </si>
  <si>
    <t>Accumulated Depreciation - Other Structures</t>
  </si>
  <si>
    <t>Buildings</t>
  </si>
  <si>
    <t>Other Land Improvements</t>
  </si>
  <si>
    <t>Fuel, Oil and Lubricants Inventory</t>
  </si>
  <si>
    <t>Other Supplies and Materials for Distribution</t>
  </si>
  <si>
    <t>Medical, Dental and Laboratory Supplies for Distribution</t>
  </si>
  <si>
    <t>Welfare Goods for Distribution</t>
  </si>
  <si>
    <t>Due from Local Government Units</t>
  </si>
  <si>
    <t>Due from National Government Agencies</t>
  </si>
  <si>
    <t>Accumulated Surplus (Deficit)</t>
  </si>
  <si>
    <t>Construction in Progress</t>
  </si>
  <si>
    <t>Non - Current Assets</t>
  </si>
  <si>
    <t>Non-Current Liabilities</t>
  </si>
  <si>
    <t>Net Assets/Equity</t>
  </si>
  <si>
    <t>Cash and Cash Equivalents</t>
  </si>
  <si>
    <t>Prepayments</t>
  </si>
  <si>
    <t>Buildings and Other Structures</t>
  </si>
  <si>
    <t xml:space="preserve">Furniture, Fixtures and Books  </t>
  </si>
  <si>
    <t xml:space="preserve">Machinery  and Equipment </t>
  </si>
  <si>
    <t>Transportation Equipment</t>
  </si>
  <si>
    <t>Revenue</t>
  </si>
  <si>
    <t>Less: Current Operating Expenses</t>
  </si>
  <si>
    <t>Personnel Services</t>
  </si>
  <si>
    <t>Non-Cash Expenses</t>
  </si>
  <si>
    <t xml:space="preserve">          Total Revenue</t>
  </si>
  <si>
    <t>Surplus/(Deficit) from Current Operations</t>
  </si>
  <si>
    <t xml:space="preserve">   Losses</t>
  </si>
  <si>
    <t xml:space="preserve">   Depreciation </t>
  </si>
  <si>
    <t>Accumulated Surplus/(Deficit)</t>
  </si>
  <si>
    <t>Prior Period Adjustments/Unrecorded Income and Expenses</t>
  </si>
  <si>
    <t>Restated Balance</t>
  </si>
  <si>
    <t>Technical and Scientific Equipment</t>
  </si>
  <si>
    <t>Accumulated Depreciation-Technical and Scientific Equipment</t>
  </si>
  <si>
    <t>Depreciation - Technical and Scientific Equipment</t>
  </si>
  <si>
    <t xml:space="preserve">LIABILITIES </t>
  </si>
  <si>
    <t xml:space="preserve"> NET ASSETS/EQUITY</t>
  </si>
  <si>
    <t>Cash in Bank-Local Currency</t>
  </si>
  <si>
    <t>Treasury/Agency Cash Accounts</t>
  </si>
  <si>
    <t>Cash on Hand</t>
  </si>
  <si>
    <t>Loans and Receivable Accounts</t>
  </si>
  <si>
    <t>Inter-Agency Receivables</t>
  </si>
  <si>
    <t>Other Current Assets</t>
  </si>
  <si>
    <t>Total Current Assets</t>
  </si>
  <si>
    <t>Inventory Held for Distribution</t>
  </si>
  <si>
    <t>Inventory Held for Consumption</t>
  </si>
  <si>
    <t>Net Value</t>
  </si>
  <si>
    <t>Total Non-Current Asset</t>
  </si>
  <si>
    <t>Financial Liabilities</t>
  </si>
  <si>
    <t>Payables</t>
  </si>
  <si>
    <t>Inter-Agency Payables</t>
  </si>
  <si>
    <t>Intra-Agency Payables</t>
  </si>
  <si>
    <t>Total Liabilities</t>
  </si>
  <si>
    <t>TOTAL ASSETS LESS TOTAL LIABILITIES</t>
  </si>
  <si>
    <t>Equity</t>
  </si>
  <si>
    <t>Government Equity</t>
  </si>
  <si>
    <t>Total Current Liabilities</t>
  </si>
  <si>
    <t>Total Assets less Total Liabilities</t>
  </si>
  <si>
    <t>Total Net Assets/Equity</t>
  </si>
  <si>
    <t>Assets</t>
  </si>
  <si>
    <t>Salaries and Wages</t>
  </si>
  <si>
    <t>Total Salaries and Wages</t>
  </si>
  <si>
    <t>Other Compensation</t>
  </si>
  <si>
    <t>Personnel Benefit Contributions</t>
  </si>
  <si>
    <t>Total Personnel Benefit Contributions</t>
  </si>
  <si>
    <t>Total Personnel Services</t>
  </si>
  <si>
    <t>Traveling Expenses</t>
  </si>
  <si>
    <t>Total Traveling Expenses</t>
  </si>
  <si>
    <t>Training and Scholarship Expenses</t>
  </si>
  <si>
    <t>Total Training and Scholarship Expenses</t>
  </si>
  <si>
    <t>Supplies and Materials Expenses</t>
  </si>
  <si>
    <t>Total Supplies and Materials Expenses</t>
  </si>
  <si>
    <t>Utility Expenses</t>
  </si>
  <si>
    <t>Total Utility Expenses</t>
  </si>
  <si>
    <t>Communication Expenses</t>
  </si>
  <si>
    <t>Total Communication Expenses</t>
  </si>
  <si>
    <t>Awards/Rewards and Prizes</t>
  </si>
  <si>
    <t>Total Awards/Rewards and Prizes</t>
  </si>
  <si>
    <t>Professional Services</t>
  </si>
  <si>
    <t>Total Professional Services</t>
  </si>
  <si>
    <t>General Services</t>
  </si>
  <si>
    <t>Total General Services</t>
  </si>
  <si>
    <t>Repairs and Maintenance</t>
  </si>
  <si>
    <t>Total Repairs and Maintenance</t>
  </si>
  <si>
    <t>Confidential, Intelligence and Extraordinary Expenses</t>
  </si>
  <si>
    <t>Total Confidential, Intelligence and Extraordinary Expenses</t>
  </si>
  <si>
    <t>Taxes, Insurance Premiums and Other Fees</t>
  </si>
  <si>
    <t>Total Taxes, Insurance Premiums and Other Fees</t>
  </si>
  <si>
    <t>Total Other Maintenance and Other Operating Expenses</t>
  </si>
  <si>
    <t>Total Maintenance and Other Operating Expenses</t>
  </si>
  <si>
    <t>Financial Expenses</t>
  </si>
  <si>
    <t>Total Financial Expenses</t>
  </si>
  <si>
    <t>Total Non-Cash Expenses</t>
  </si>
  <si>
    <t>Current Operating Expenses</t>
  </si>
  <si>
    <t>Total Service Income</t>
  </si>
  <si>
    <t>Grants and Donations</t>
  </si>
  <si>
    <t>Total Grants and Donations</t>
  </si>
  <si>
    <t>Financial Assistance/Subsidy from NG, NGAs, LGUs, GOCCs</t>
  </si>
  <si>
    <t>Total Financial Assistance/Subsidy from NGAs, LGUs, GOCCs</t>
  </si>
  <si>
    <t>Total Financial Assistance/Subsidy to NGAs, LGUs, GOCCs</t>
  </si>
  <si>
    <t xml:space="preserve">Net Financial Assistance/Subsidy </t>
  </si>
  <si>
    <t>Surplus (Deficit) for the period</t>
  </si>
  <si>
    <t>Total Revenue</t>
  </si>
  <si>
    <t>Total Current Operating Expenses</t>
  </si>
  <si>
    <t>Net Financial Assistance/Subsidy</t>
  </si>
  <si>
    <t>Surplus/(Deficit) for the period</t>
  </si>
  <si>
    <t>Property, Plant and Equipment, net</t>
  </si>
  <si>
    <t>Total Assets</t>
  </si>
  <si>
    <t>Intra-Agency Receivables</t>
  </si>
  <si>
    <t>Cash - Tax Remittance Advice</t>
  </si>
  <si>
    <t>Semi-Expendable Machinery and Equipment</t>
  </si>
  <si>
    <t>Semi-Expendable Machinery</t>
  </si>
  <si>
    <t>Semi-Expendable Office Equipment</t>
  </si>
  <si>
    <t>Semi-Expendable Information and Communications Tech. Equipment</t>
  </si>
  <si>
    <t>Semi-Expendable Medical Equipment</t>
  </si>
  <si>
    <t>Semi-Expendable Sports equipment</t>
  </si>
  <si>
    <t>Semi-Expendable Technical and Scientific equipment</t>
  </si>
  <si>
    <t>Semi-Expendable Furniture and Fixtures</t>
  </si>
  <si>
    <t>Fund Cluster 1</t>
  </si>
  <si>
    <t xml:space="preserve"> </t>
  </si>
  <si>
    <t>Due to Other Funds</t>
  </si>
  <si>
    <t>Computer software</t>
  </si>
  <si>
    <t>Accumulated Amortization-Computer Software</t>
  </si>
  <si>
    <t>Intangibles</t>
  </si>
  <si>
    <t>Advances</t>
  </si>
  <si>
    <t>Subsidy from Central Office</t>
  </si>
  <si>
    <t>Accumulated Depreciation-Buildings</t>
  </si>
  <si>
    <t>Amortization Expense-Computer Software</t>
  </si>
  <si>
    <t>Amortization Expense- Computer Software</t>
  </si>
  <si>
    <t>Semi-Expendable Sports Equipment</t>
  </si>
  <si>
    <t>Accountant III</t>
  </si>
  <si>
    <t>Fines and Penalties</t>
  </si>
  <si>
    <t>FUND CLUSTER 1</t>
  </si>
  <si>
    <t>Semi-Expendable Other Machinery and Equipment</t>
  </si>
  <si>
    <t xml:space="preserve">Semi-Expendable Communication Equipment </t>
  </si>
  <si>
    <t>Overtime Pay - Night-shift Differential Pay</t>
  </si>
  <si>
    <t>Semi-Expendable - Other Machinery and Equipment Expenses</t>
  </si>
  <si>
    <t>Capital Outlay - Land Improvement Outlay</t>
  </si>
  <si>
    <t>Laundry Allowance-Magna Carta Benefits for Science and Technology under R.A. 8439</t>
  </si>
  <si>
    <t>Semi-Expendable - M &amp; E Expenses-ICT Equipment</t>
  </si>
  <si>
    <t>Semi-expendable Machinery and Equipment Expenses - Office Equipment</t>
  </si>
  <si>
    <t>Semi-expendable Machinery and Equipment Expenses - Communications Equipment</t>
  </si>
  <si>
    <t>Semi-expendable Furniture and Fixtures Expenses</t>
  </si>
  <si>
    <t>Semi-expendable Machinery and Equipment Expenses - Medical Equipment</t>
  </si>
  <si>
    <t xml:space="preserve">Medical, Dental and Laboratory Supplies Inventory </t>
  </si>
  <si>
    <t xml:space="preserve">Miscellaneous Income </t>
  </si>
  <si>
    <t xml:space="preserve">Lump -sum for Step Increments-Length of Service </t>
  </si>
  <si>
    <t>Semi-expendable Machinery and Equipment Expenses - Machinery</t>
  </si>
  <si>
    <t>Midyear Bonus</t>
  </si>
  <si>
    <t>Loyalty Award (Civilian)</t>
  </si>
  <si>
    <t>Accumulated Depreciation-Other Land Improvements</t>
  </si>
  <si>
    <t>Hazard Pay - Magna Carta Benefits for Public Social Workers under RA 9432</t>
  </si>
  <si>
    <t>Receivables-Disallowances/Charges</t>
  </si>
  <si>
    <t>Depreciation-Other Land Improvements</t>
  </si>
  <si>
    <t>Receivables-Disallowance/Charges</t>
  </si>
  <si>
    <t>Refer to WTB Total Transaction for the previous months up to the reporting month period  (all debit (-) and all credit (+)</t>
  </si>
  <si>
    <t>HANILYN T. CIMAFRANCA, CPA</t>
  </si>
  <si>
    <t xml:space="preserve">Cash-Constructive Disbursements </t>
  </si>
  <si>
    <t xml:space="preserve">   Life and Retirement Premium </t>
  </si>
  <si>
    <t xml:space="preserve">   ECC</t>
  </si>
  <si>
    <t xml:space="preserve">   Salary Loan</t>
  </si>
  <si>
    <t xml:space="preserve">   Policy Loan</t>
  </si>
  <si>
    <t xml:space="preserve">   PAG-IBIG Premium</t>
  </si>
  <si>
    <t xml:space="preserve">   PAG-IBIG Multi Purpose Loan</t>
  </si>
  <si>
    <t xml:space="preserve">   PAG-IBIG Housing Loan</t>
  </si>
  <si>
    <t xml:space="preserve">Advances to Special Disbursing Officer </t>
  </si>
  <si>
    <t>Accumulated Depreciation-Information and Communication Technology Equipment</t>
  </si>
  <si>
    <t>Due to NGA's</t>
  </si>
  <si>
    <t>Due To GOCCs</t>
  </si>
  <si>
    <t>Salaries and Wages - Casual/Contracutal</t>
  </si>
  <si>
    <t>MID YEAR BONUS</t>
  </si>
  <si>
    <t>Anniversary Bonus</t>
  </si>
  <si>
    <t>Other Personnel Benefits (Civilian)</t>
  </si>
  <si>
    <t>Postage and Courier Services</t>
  </si>
  <si>
    <t>Rent/Lease Expenses - Buildings and Structures</t>
  </si>
  <si>
    <t>Rent/Lease Expenses - Motor Vehicles</t>
  </si>
  <si>
    <t>Rent/Lease Expenses - Equipment</t>
  </si>
  <si>
    <t>Rent/Lease Expenses - Living Quarters</t>
  </si>
  <si>
    <t xml:space="preserve">Total </t>
  </si>
  <si>
    <t>Certified Correct</t>
  </si>
  <si>
    <t>ICT Office Supplies Expenses</t>
  </si>
  <si>
    <t>Certified correct</t>
  </si>
  <si>
    <t>Cash-Constructive Income and Other Remittances</t>
  </si>
  <si>
    <t>Rents–ICT Machinery and Equipment</t>
  </si>
  <si>
    <t>Lease Assets, Machinery &amp; Equipment</t>
  </si>
  <si>
    <t>Accumulated Depreciation Lease Assets, Machinery &amp; Equipment</t>
  </si>
  <si>
    <t>Depreciation Lease Assets, Machinery &amp; Equipment</t>
  </si>
  <si>
    <t>Leased Assets, Machinery &amp; Equipment</t>
  </si>
  <si>
    <t>REFER TO ASD AS OF NOV. TO ADD FOR DEC. TRANSACTION</t>
  </si>
  <si>
    <t>Closing Entry (Cash - Treasury/Agency Deposit, Regular)</t>
  </si>
  <si>
    <t>Total Other Income</t>
  </si>
  <si>
    <t>NOTES</t>
  </si>
  <si>
    <t>6</t>
  </si>
  <si>
    <t>7</t>
  </si>
  <si>
    <t>7.1</t>
  </si>
  <si>
    <t>7.2</t>
  </si>
  <si>
    <t>8</t>
  </si>
  <si>
    <t>9</t>
  </si>
  <si>
    <t>10</t>
  </si>
  <si>
    <t>10.1</t>
  </si>
  <si>
    <t>10.2</t>
  </si>
  <si>
    <t>12</t>
  </si>
  <si>
    <t>11</t>
  </si>
  <si>
    <t>13</t>
  </si>
  <si>
    <t>Finance Leased Payable</t>
  </si>
  <si>
    <t>15</t>
  </si>
  <si>
    <t>16</t>
  </si>
  <si>
    <t>17</t>
  </si>
  <si>
    <t>Comparative Condensed Statement of Financial Performance</t>
  </si>
  <si>
    <t>Subsidy to Regional Offices/Staff Bureaus</t>
  </si>
  <si>
    <t>dr (-), cr (+)</t>
  </si>
  <si>
    <t>Subsidy from Regional Office/Staff Bureau</t>
  </si>
  <si>
    <t>9.1</t>
  </si>
  <si>
    <t>18</t>
  </si>
  <si>
    <t>Machinery</t>
  </si>
  <si>
    <t xml:space="preserve">Accumulated Depreciation-Machinery </t>
  </si>
  <si>
    <t>Finanance Lease Payable</t>
  </si>
  <si>
    <t>Loss on Sale of Unserviceable Property</t>
  </si>
  <si>
    <t>Assistance from Other National Government Agencies</t>
  </si>
  <si>
    <t>January</t>
  </si>
  <si>
    <t>February</t>
  </si>
  <si>
    <t>March</t>
  </si>
  <si>
    <t>April</t>
  </si>
  <si>
    <t>May</t>
  </si>
  <si>
    <t>Information and Communications Technology Equipment</t>
  </si>
  <si>
    <t>Subscription Expenses-ICT Software Subscription</t>
  </si>
  <si>
    <t>Prepaid Subscription-ICT Software Subscription</t>
  </si>
  <si>
    <t xml:space="preserve">June </t>
  </si>
  <si>
    <t>July</t>
  </si>
  <si>
    <t>August</t>
  </si>
  <si>
    <t>September</t>
  </si>
  <si>
    <t>Total Losses</t>
  </si>
  <si>
    <t>Losses</t>
  </si>
  <si>
    <t xml:space="preserve">  -  </t>
  </si>
  <si>
    <t xml:space="preserve">Lump-sum for Step Increments-Meritorious Performance </t>
  </si>
  <si>
    <t>Jan</t>
  </si>
  <si>
    <t>Feb</t>
  </si>
  <si>
    <t xml:space="preserve">   </t>
  </si>
  <si>
    <t>Closing Entry (Cash-Constructive Income and Other Remittances)</t>
  </si>
  <si>
    <t>Closing Entry (Cash-Constructive Disbursements )</t>
  </si>
  <si>
    <t>Cash Gift-Civilian</t>
  </si>
  <si>
    <t>add to Notes</t>
  </si>
  <si>
    <t>9.2</t>
  </si>
  <si>
    <t>Total other Compensation</t>
  </si>
  <si>
    <t>Accumulated Depreciation-Machinery</t>
  </si>
  <si>
    <t>Total Other Compensation</t>
  </si>
  <si>
    <t>Total Other Bonuses and Allowances</t>
  </si>
  <si>
    <t>Total Ovetime and Nigth Pay</t>
  </si>
  <si>
    <t>Changes in Net Assets/Equity for Calendar Year 2023</t>
  </si>
  <si>
    <t>Due to Officers &amp; Employees</t>
  </si>
  <si>
    <t xml:space="preserve">Repairs and Maintenance-Machinery and Equipment - ICT Equipment </t>
  </si>
  <si>
    <t>+CR</t>
  </si>
  <si>
    <t>-DR</t>
  </si>
  <si>
    <t>ASD 2023</t>
  </si>
  <si>
    <t>Due from Non-Government Organizations/Civil Society Organizations</t>
  </si>
  <si>
    <t>Semi-Expendable Other Equipment</t>
  </si>
  <si>
    <t>Other Equipment</t>
  </si>
  <si>
    <t>Accumulated Depreciation - Other Equipment</t>
  </si>
  <si>
    <t>Repair and Maintenance - Other Equipment</t>
  </si>
  <si>
    <t>Due to National Government Agencies</t>
  </si>
  <si>
    <t>Due to Government-Owned of Controlled Corporations</t>
  </si>
  <si>
    <t>Due to Local Government Units</t>
  </si>
  <si>
    <t>Accumulated Depreciation - Office Buildings</t>
  </si>
  <si>
    <t>Accumulated Depreciation - Machinery</t>
  </si>
  <si>
    <t>Accumulated Depreciation - Information and Communication Technology Equipment</t>
  </si>
  <si>
    <t xml:space="preserve"> Accumulated Depreciation - Technical and Scientific Equipment</t>
  </si>
  <si>
    <t>Accumulated Depreciation -  Motor Vehicles</t>
  </si>
  <si>
    <t>Less: Financial Assistance/Subsidy to National Government Agencies , Local Government Units, Government-Owned 
         of Controlled Corporations, Non-Government Organizations/Civil Society Organizations</t>
  </si>
  <si>
    <t>Semi-expendable Technical and Scientific Expenses</t>
  </si>
  <si>
    <t>TOTAL ASD AS OF SEPT 2023</t>
  </si>
  <si>
    <t>Semi-Expendable Machinery and Equipment Expenses Sports Equipment</t>
  </si>
  <si>
    <t>NEW/REVISED UACS CODE</t>
  </si>
  <si>
    <t>changed uacs nov 2023-old uacs 5050102003</t>
  </si>
  <si>
    <t>Deposits</t>
  </si>
  <si>
    <t>Cash in Bank-Local Currency, Current Account-Land Bank of the Philippines ( LBP)</t>
  </si>
  <si>
    <t>Guaranty/Security Deposits Payable</t>
  </si>
  <si>
    <t>12.2</t>
  </si>
  <si>
    <t>19</t>
  </si>
  <si>
    <t>20</t>
  </si>
  <si>
    <t>21</t>
  </si>
  <si>
    <t>.</t>
  </si>
  <si>
    <t>..</t>
  </si>
  <si>
    <t>2024</t>
  </si>
  <si>
    <t>2023 as Restated</t>
  </si>
  <si>
    <t>Balance at January 1, 2024</t>
  </si>
  <si>
    <t xml:space="preserve">    Total Depreciation </t>
  </si>
  <si>
    <t xml:space="preserve">Other Non-Operating Income </t>
  </si>
  <si>
    <t>Gains</t>
  </si>
  <si>
    <t xml:space="preserve">Total Gains </t>
  </si>
  <si>
    <t>Adjustments</t>
  </si>
  <si>
    <t>2023
as Restated</t>
  </si>
  <si>
    <t>2023</t>
  </si>
  <si>
    <t xml:space="preserve">Adjustments </t>
  </si>
  <si>
    <t>2023
 as Restated</t>
  </si>
  <si>
    <t>ADJUSTMENTS</t>
  </si>
  <si>
    <t>2023 AS RESTATED</t>
  </si>
  <si>
    <t>Non Current</t>
  </si>
  <si>
    <t>***for correcting entry on October 2022 reporting period</t>
  </si>
  <si>
    <t>Semi-Expendable-Sports Equipment</t>
  </si>
  <si>
    <t>Repairs and Maintenance-Machinery</t>
  </si>
  <si>
    <t xml:space="preserve">Subsidy to Regional Offices/Staff Bureaus </t>
  </si>
  <si>
    <t>CHANGES IN BEG. ASD</t>
  </si>
  <si>
    <t>RESTATED POST-CLOSING TRIAL BALANCE</t>
  </si>
  <si>
    <t xml:space="preserve"> RESTATED PRE-CLOSING TRIAL BALANCE</t>
  </si>
  <si>
    <t>CLOSED</t>
  </si>
  <si>
    <t>Other Supplies and Materials Inventory</t>
  </si>
  <si>
    <t>Semi-Expendable - Other Equipment</t>
  </si>
  <si>
    <t>Advertising, Promotional and Marketing Expenses</t>
  </si>
  <si>
    <t>Bank Charges - Loans/Borrowings</t>
  </si>
  <si>
    <t>Depreciation - Other Equipment</t>
  </si>
  <si>
    <t xml:space="preserve">Certified Correct: </t>
  </si>
  <si>
    <t>Other Prepayments</t>
  </si>
  <si>
    <t xml:space="preserve">Other Prepayments </t>
  </si>
  <si>
    <t xml:space="preserve">Other Financial Charges </t>
  </si>
  <si>
    <t>Other Financial Charges</t>
  </si>
  <si>
    <t>As at December 31, 2024</t>
  </si>
  <si>
    <t>Accumulated Surplus, December 31, 2024</t>
  </si>
  <si>
    <t>Transfers from Fund Cluster 2</t>
  </si>
  <si>
    <t>Loss on Sale of Property, Plant and Equipment</t>
  </si>
  <si>
    <t>Due to Officers and Employees</t>
  </si>
  <si>
    <t>Impairment Loss - Inventories</t>
  </si>
  <si>
    <t>Impairment Loss-Property, Plant and Equipment</t>
  </si>
  <si>
    <t>Accumulated Impairement Losses-Furniture and Fixtures</t>
  </si>
  <si>
    <t>Increase/
(Decrease)</t>
  </si>
  <si>
    <t>Impairment Loss</t>
  </si>
  <si>
    <t>Amortization</t>
  </si>
  <si>
    <t xml:space="preserve">   Total Impairment Loss</t>
  </si>
  <si>
    <t xml:space="preserve">   Total Losses</t>
  </si>
  <si>
    <t xml:space="preserve">    Total Amortization</t>
  </si>
  <si>
    <t xml:space="preserve"> COMPARATIVE STATEMENT OF FINANCIAL POSITION</t>
  </si>
  <si>
    <t>COMPARATIVE CONDENSED  STATEMENT OF FINANCIAL POSITION</t>
  </si>
  <si>
    <t>COMPARATIVE STATEMENT OF FINANCIAL PERFORMANCE</t>
  </si>
  <si>
    <t xml:space="preserve">COMPARATIVE  STATEMENT OF CHANGES IN NET ASSETS/EQUITY </t>
  </si>
  <si>
    <t>14</t>
  </si>
  <si>
    <t>22</t>
  </si>
  <si>
    <t>22.2</t>
  </si>
  <si>
    <t>23</t>
  </si>
  <si>
    <t>12.1</t>
  </si>
  <si>
    <t>18.10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</si>
</sst>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[$-409]mmmm\ d\,\ yyyy;@"/>
    <numFmt numFmtId="166" formatCode="0;[Red]0"/>
  </numFmts>
  <fonts count="45" x14ac:knownFonts="1"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0"/>
      <name val="Arial Narrow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12"/>
      <name val="Arial Narrow"/>
      <family val="2"/>
    </font>
    <font>
      <sz val="11"/>
      <color rgb="FFFF0000"/>
      <name val="Arial Narrow"/>
      <family val="2"/>
    </font>
    <font>
      <sz val="11"/>
      <color theme="0"/>
      <name val="Arial Narrow"/>
      <family val="2"/>
    </font>
    <font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12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color theme="0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rgb="FFFF0000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Arial Narrow"/>
      <family val="2"/>
    </font>
    <font>
      <sz val="11"/>
      <color rgb="FF000000"/>
      <name val="Arial Narrow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color rgb="FFFF0000"/>
      <name val="Arial Narrow"/>
      <family val="2"/>
    </font>
    <font>
      <sz val="11"/>
      <color rgb="FF000000"/>
      <name val="Arial"/>
      <family val="2"/>
    </font>
    <font>
      <sz val="12"/>
      <color theme="1"/>
      <name val="Times New Roman"/>
      <family val="1"/>
    </font>
    <font>
      <sz val="12"/>
      <color rgb="FFFF0000"/>
      <name val="Arial Narrow"/>
      <family val="2"/>
    </font>
    <font>
      <sz val="12"/>
      <color theme="0"/>
      <name val="Arial Narrow"/>
      <family val="2"/>
    </font>
    <font>
      <b/>
      <sz val="8"/>
      <color theme="0"/>
      <name val="Arial Narrow"/>
      <family val="2"/>
    </font>
    <font>
      <i/>
      <sz val="1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11"/>
      <name val="Arial"/>
      <family val="2"/>
    </font>
    <font>
      <b/>
      <sz val="10"/>
      <color theme="0"/>
      <name val="Arial Narrow"/>
      <family val="2"/>
    </font>
    <font>
      <sz val="10"/>
      <color theme="0"/>
      <name val="Arial Narrow"/>
      <family val="2"/>
    </font>
  </fonts>
  <fills count="2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7">
    <xf numFmtId="165" fontId="0" fillId="0" borderId="0"/>
    <xf numFmtId="165" fontId="2" fillId="0" borderId="0"/>
    <xf numFmtId="164" fontId="2" fillId="0" borderId="0" applyFont="0" applyFill="0" applyBorder="0" applyAlignment="0" applyProtection="0"/>
    <xf numFmtId="165" fontId="2" fillId="0" borderId="0"/>
    <xf numFmtId="9" fontId="6" fillId="0" borderId="0" applyFont="0" applyFill="0" applyBorder="0" applyAlignment="0" applyProtection="0"/>
    <xf numFmtId="165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8" fillId="0" borderId="0"/>
    <xf numFmtId="165" fontId="1" fillId="0" borderId="0"/>
    <xf numFmtId="165" fontId="8" fillId="0" borderId="0"/>
    <xf numFmtId="165" fontId="8" fillId="0" borderId="0"/>
    <xf numFmtId="165" fontId="2" fillId="0" borderId="0"/>
    <xf numFmtId="165" fontId="6" fillId="0" borderId="0"/>
    <xf numFmtId="165" fontId="2" fillId="0" borderId="0"/>
    <xf numFmtId="165" fontId="2" fillId="0" borderId="0"/>
    <xf numFmtId="165" fontId="6" fillId="0" borderId="0"/>
    <xf numFmtId="165" fontId="2" fillId="0" borderId="0"/>
    <xf numFmtId="165" fontId="2" fillId="0" borderId="0"/>
    <xf numFmtId="165" fontId="2" fillId="0" borderId="0"/>
    <xf numFmtId="165" fontId="8" fillId="0" borderId="0"/>
    <xf numFmtId="165" fontId="2" fillId="0" borderId="0"/>
    <xf numFmtId="165" fontId="6" fillId="0" borderId="0"/>
    <xf numFmtId="165" fontId="2" fillId="0" borderId="0"/>
    <xf numFmtId="165" fontId="2" fillId="0" borderId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" fillId="0" borderId="0"/>
    <xf numFmtId="164" fontId="6" fillId="0" borderId="0" applyFont="0" applyFill="0" applyBorder="0" applyAlignment="0" applyProtection="0"/>
  </cellStyleXfs>
  <cellXfs count="560">
    <xf numFmtId="165" fontId="0" fillId="0" borderId="0" xfId="0"/>
    <xf numFmtId="165" fontId="3" fillId="2" borderId="0" xfId="1" applyFont="1" applyFill="1"/>
    <xf numFmtId="164" fontId="3" fillId="3" borderId="0" xfId="2" applyFont="1" applyFill="1"/>
    <xf numFmtId="164" fontId="3" fillId="3" borderId="7" xfId="2" applyFont="1" applyFill="1" applyBorder="1"/>
    <xf numFmtId="164" fontId="3" fillId="3" borderId="0" xfId="2" applyFont="1" applyFill="1" applyBorder="1"/>
    <xf numFmtId="164" fontId="3" fillId="3" borderId="1" xfId="2" applyFont="1" applyFill="1" applyBorder="1"/>
    <xf numFmtId="164" fontId="12" fillId="3" borderId="0" xfId="2" applyFont="1" applyFill="1"/>
    <xf numFmtId="165" fontId="9" fillId="0" borderId="0" xfId="28" applyFont="1" applyFill="1" applyBorder="1" applyAlignment="1">
      <alignment vertical="top"/>
    </xf>
    <xf numFmtId="165" fontId="4" fillId="3" borderId="0" xfId="1" applyFont="1" applyFill="1" applyBorder="1" applyAlignment="1">
      <alignment horizontal="center"/>
    </xf>
    <xf numFmtId="164" fontId="4" fillId="3" borderId="0" xfId="2" applyFont="1" applyFill="1" applyBorder="1" applyAlignment="1">
      <alignment horizontal="center"/>
    </xf>
    <xf numFmtId="164" fontId="4" fillId="3" borderId="0" xfId="2" applyFont="1" applyFill="1" applyBorder="1" applyAlignment="1"/>
    <xf numFmtId="49" fontId="4" fillId="3" borderId="0" xfId="2" applyNumberFormat="1" applyFont="1" applyFill="1" applyBorder="1" applyAlignment="1">
      <alignment horizontal="center"/>
    </xf>
    <xf numFmtId="49" fontId="4" fillId="3" borderId="0" xfId="2" applyNumberFormat="1" applyFont="1" applyFill="1" applyBorder="1" applyAlignment="1"/>
    <xf numFmtId="165" fontId="4" fillId="3" borderId="0" xfId="1" applyFont="1" applyFill="1"/>
    <xf numFmtId="165" fontId="3" fillId="3" borderId="0" xfId="1" applyFont="1" applyFill="1" applyAlignment="1">
      <alignment horizontal="center"/>
    </xf>
    <xf numFmtId="164" fontId="3" fillId="3" borderId="0" xfId="2" applyFont="1" applyFill="1" applyAlignment="1"/>
    <xf numFmtId="165" fontId="3" fillId="3" borderId="0" xfId="1" applyFont="1" applyFill="1"/>
    <xf numFmtId="164" fontId="3" fillId="3" borderId="0" xfId="2" applyFont="1" applyFill="1" applyAlignment="1">
      <alignment horizontal="left"/>
    </xf>
    <xf numFmtId="165" fontId="3" fillId="3" borderId="0" xfId="1" applyFont="1" applyFill="1" applyAlignment="1">
      <alignment horizontal="left"/>
    </xf>
    <xf numFmtId="165" fontId="3" fillId="3" borderId="0" xfId="3" applyFont="1" applyFill="1"/>
    <xf numFmtId="164" fontId="3" fillId="3" borderId="0" xfId="2" applyFont="1" applyFill="1" applyBorder="1" applyAlignment="1">
      <alignment horizontal="left"/>
    </xf>
    <xf numFmtId="164" fontId="4" fillId="3" borderId="1" xfId="2" applyFont="1" applyFill="1" applyBorder="1"/>
    <xf numFmtId="164" fontId="3" fillId="3" borderId="0" xfId="2" applyFont="1" applyFill="1" applyBorder="1" applyAlignment="1"/>
    <xf numFmtId="165" fontId="3" fillId="3" borderId="0" xfId="5" applyFont="1" applyFill="1"/>
    <xf numFmtId="165" fontId="5" fillId="3" borderId="0" xfId="1" applyFont="1" applyFill="1" applyAlignment="1">
      <alignment horizontal="left"/>
    </xf>
    <xf numFmtId="165" fontId="3" fillId="3" borderId="0" xfId="1" applyFont="1" applyFill="1" applyAlignment="1"/>
    <xf numFmtId="49" fontId="3" fillId="3" borderId="0" xfId="1" applyNumberFormat="1" applyFont="1" applyFill="1" applyAlignment="1">
      <alignment horizontal="left"/>
    </xf>
    <xf numFmtId="164" fontId="11" fillId="3" borderId="0" xfId="2" applyFont="1" applyFill="1"/>
    <xf numFmtId="164" fontId="11" fillId="3" borderId="0" xfId="2" applyFont="1" applyFill="1" applyAlignment="1"/>
    <xf numFmtId="165" fontId="3" fillId="3" borderId="0" xfId="28" applyFont="1" applyFill="1"/>
    <xf numFmtId="165" fontId="4" fillId="3" borderId="0" xfId="1" quotePrefix="1" applyFont="1" applyFill="1" applyAlignment="1">
      <alignment horizontal="center"/>
    </xf>
    <xf numFmtId="165" fontId="4" fillId="3" borderId="0" xfId="28" applyFont="1" applyFill="1" applyAlignment="1">
      <alignment horizontal="center"/>
    </xf>
    <xf numFmtId="165" fontId="4" fillId="3" borderId="0" xfId="1" applyFont="1" applyFill="1" applyAlignment="1">
      <alignment horizontal="left"/>
    </xf>
    <xf numFmtId="164" fontId="4" fillId="3" borderId="6" xfId="2" applyFont="1" applyFill="1" applyBorder="1"/>
    <xf numFmtId="165" fontId="3" fillId="3" borderId="0" xfId="1" applyFont="1" applyFill="1" applyAlignment="1">
      <alignment horizontal="center" wrapText="1"/>
    </xf>
    <xf numFmtId="49" fontId="3" fillId="3" borderId="0" xfId="1" applyNumberFormat="1" applyFont="1" applyFill="1" applyAlignment="1">
      <alignment horizontal="center"/>
    </xf>
    <xf numFmtId="4" fontId="3" fillId="3" borderId="0" xfId="1" applyNumberFormat="1" applyFont="1" applyFill="1"/>
    <xf numFmtId="164" fontId="3" fillId="3" borderId="0" xfId="54" applyFont="1" applyFill="1"/>
    <xf numFmtId="165" fontId="3" fillId="0" borderId="0" xfId="28" applyFont="1"/>
    <xf numFmtId="49" fontId="3" fillId="0" borderId="0" xfId="28" applyNumberFormat="1" applyFont="1"/>
    <xf numFmtId="49" fontId="3" fillId="3" borderId="0" xfId="28" applyNumberFormat="1" applyFont="1" applyFill="1"/>
    <xf numFmtId="164" fontId="4" fillId="3" borderId="0" xfId="28" applyNumberFormat="1" applyFont="1" applyFill="1"/>
    <xf numFmtId="164" fontId="3" fillId="0" borderId="0" xfId="54" applyFont="1"/>
    <xf numFmtId="164" fontId="3" fillId="3" borderId="0" xfId="28" applyNumberFormat="1" applyFont="1" applyFill="1"/>
    <xf numFmtId="164" fontId="4" fillId="3" borderId="0" xfId="2" applyFont="1" applyFill="1" applyBorder="1" applyAlignment="1">
      <alignment horizontal="left"/>
    </xf>
    <xf numFmtId="165" fontId="4" fillId="3" borderId="0" xfId="1" applyFont="1" applyFill="1" applyBorder="1" applyAlignment="1">
      <alignment horizontal="left"/>
    </xf>
    <xf numFmtId="165" fontId="3" fillId="3" borderId="0" xfId="3" applyFont="1" applyFill="1" applyBorder="1" applyAlignment="1">
      <alignment horizontal="right"/>
    </xf>
    <xf numFmtId="165" fontId="4" fillId="3" borderId="0" xfId="1" applyFont="1" applyFill="1" applyAlignment="1">
      <alignment horizontal="center"/>
    </xf>
    <xf numFmtId="165" fontId="4" fillId="3" borderId="0" xfId="3" applyFont="1" applyFill="1" applyBorder="1" applyAlignment="1">
      <alignment horizontal="right"/>
    </xf>
    <xf numFmtId="164" fontId="4" fillId="3" borderId="0" xfId="2" applyFont="1" applyFill="1" applyBorder="1"/>
    <xf numFmtId="165" fontId="3" fillId="3" borderId="0" xfId="3" applyFont="1" applyFill="1" applyBorder="1" applyAlignment="1">
      <alignment horizontal="center"/>
    </xf>
    <xf numFmtId="164" fontId="4" fillId="3" borderId="0" xfId="8" applyFont="1" applyFill="1" applyBorder="1" applyAlignment="1">
      <alignment horizontal="center"/>
    </xf>
    <xf numFmtId="164" fontId="3" fillId="3" borderId="0" xfId="8" applyFont="1" applyFill="1" applyBorder="1" applyAlignment="1">
      <alignment horizontal="center"/>
    </xf>
    <xf numFmtId="165" fontId="4" fillId="0" borderId="0" xfId="28" applyFont="1"/>
    <xf numFmtId="164" fontId="3" fillId="2" borderId="0" xfId="54" applyFont="1" applyFill="1"/>
    <xf numFmtId="165" fontId="3" fillId="3" borderId="0" xfId="1" applyFont="1" applyFill="1" applyBorder="1" applyAlignment="1">
      <alignment horizontal="center"/>
    </xf>
    <xf numFmtId="165" fontId="3" fillId="3" borderId="0" xfId="28" applyFont="1" applyFill="1" applyAlignment="1">
      <alignment horizontal="center"/>
    </xf>
    <xf numFmtId="164" fontId="4" fillId="3" borderId="0" xfId="2" applyFont="1" applyFill="1"/>
    <xf numFmtId="0" fontId="12" fillId="3" borderId="0" xfId="1" applyNumberFormat="1" applyFont="1" applyFill="1" applyAlignment="1">
      <alignment horizontal="center"/>
    </xf>
    <xf numFmtId="164" fontId="4" fillId="3" borderId="0" xfId="54" applyFont="1" applyFill="1"/>
    <xf numFmtId="165" fontId="4" fillId="3" borderId="0" xfId="3" applyFont="1" applyFill="1" applyBorder="1" applyAlignment="1">
      <alignment horizontal="center"/>
    </xf>
    <xf numFmtId="165" fontId="4" fillId="3" borderId="0" xfId="28" applyFont="1" applyFill="1"/>
    <xf numFmtId="165" fontId="4" fillId="3" borderId="0" xfId="1" applyFont="1" applyFill="1" applyAlignment="1"/>
    <xf numFmtId="49" fontId="4" fillId="3" borderId="0" xfId="2" applyNumberFormat="1" applyFont="1" applyFill="1" applyAlignment="1">
      <alignment horizontal="center"/>
    </xf>
    <xf numFmtId="164" fontId="3" fillId="3" borderId="0" xfId="1" applyNumberFormat="1" applyFont="1" applyFill="1" applyBorder="1" applyAlignment="1">
      <alignment horizontal="right"/>
    </xf>
    <xf numFmtId="164" fontId="3" fillId="3" borderId="7" xfId="54" applyFont="1" applyFill="1" applyBorder="1"/>
    <xf numFmtId="164" fontId="3" fillId="3" borderId="0" xfId="2" applyFont="1" applyFill="1" applyBorder="1" applyAlignment="1">
      <alignment horizontal="center"/>
    </xf>
    <xf numFmtId="164" fontId="3" fillId="3" borderId="1" xfId="2" applyFont="1" applyFill="1" applyBorder="1" applyAlignment="1">
      <alignment horizontal="center"/>
    </xf>
    <xf numFmtId="164" fontId="3" fillId="3" borderId="1" xfId="54" applyFont="1" applyFill="1" applyBorder="1"/>
    <xf numFmtId="4" fontId="3" fillId="3" borderId="1" xfId="1" applyNumberFormat="1" applyFont="1" applyFill="1" applyBorder="1"/>
    <xf numFmtId="4" fontId="3" fillId="3" borderId="0" xfId="1" applyNumberFormat="1" applyFont="1" applyFill="1" applyBorder="1"/>
    <xf numFmtId="4" fontId="3" fillId="3" borderId="6" xfId="1" applyNumberFormat="1" applyFont="1" applyFill="1" applyBorder="1"/>
    <xf numFmtId="4" fontId="3" fillId="3" borderId="0" xfId="2" applyNumberFormat="1" applyFont="1" applyFill="1"/>
    <xf numFmtId="4" fontId="3" fillId="3" borderId="1" xfId="2" applyNumberFormat="1" applyFont="1" applyFill="1" applyBorder="1"/>
    <xf numFmtId="4" fontId="4" fillId="3" borderId="6" xfId="2" applyNumberFormat="1" applyFont="1" applyFill="1" applyBorder="1"/>
    <xf numFmtId="164" fontId="4" fillId="3" borderId="6" xfId="54" applyFont="1" applyFill="1" applyBorder="1"/>
    <xf numFmtId="4" fontId="3" fillId="0" borderId="0" xfId="28" applyNumberFormat="1" applyFont="1"/>
    <xf numFmtId="4" fontId="3" fillId="3" borderId="0" xfId="28" applyNumberFormat="1" applyFont="1" applyFill="1"/>
    <xf numFmtId="165" fontId="3" fillId="3" borderId="0" xfId="1" applyFont="1" applyFill="1" applyBorder="1" applyAlignment="1">
      <alignment horizontal="center"/>
    </xf>
    <xf numFmtId="49" fontId="4" fillId="3" borderId="0" xfId="2" quotePrefix="1" applyNumberFormat="1" applyFont="1" applyFill="1" applyAlignment="1">
      <alignment horizontal="center"/>
    </xf>
    <xf numFmtId="0" fontId="3" fillId="0" borderId="0" xfId="5" applyNumberFormat="1" applyFont="1" applyFill="1" applyBorder="1" applyAlignment="1">
      <alignment horizontal="center"/>
    </xf>
    <xf numFmtId="164" fontId="3" fillId="0" borderId="0" xfId="54" applyFont="1" applyFill="1"/>
    <xf numFmtId="164" fontId="3" fillId="0" borderId="0" xfId="54" applyFont="1" applyFill="1" applyBorder="1"/>
    <xf numFmtId="164" fontId="10" fillId="3" borderId="0" xfId="8" applyFont="1" applyFill="1"/>
    <xf numFmtId="164" fontId="10" fillId="3" borderId="0" xfId="54" applyFont="1" applyFill="1"/>
    <xf numFmtId="165" fontId="9" fillId="0" borderId="0" xfId="28" applyFont="1" applyFill="1"/>
    <xf numFmtId="164" fontId="9" fillId="0" borderId="0" xfId="54" applyFont="1" applyFill="1"/>
    <xf numFmtId="0" fontId="14" fillId="0" borderId="2" xfId="5" applyNumberFormat="1" applyFont="1" applyFill="1" applyBorder="1" applyAlignment="1">
      <alignment horizontal="center"/>
    </xf>
    <xf numFmtId="0" fontId="14" fillId="0" borderId="5" xfId="5" applyNumberFormat="1" applyFont="1" applyFill="1" applyBorder="1" applyAlignment="1">
      <alignment horizontal="center"/>
    </xf>
    <xf numFmtId="164" fontId="14" fillId="0" borderId="2" xfId="54" applyFont="1" applyFill="1" applyBorder="1"/>
    <xf numFmtId="164" fontId="14" fillId="0" borderId="0" xfId="54" applyFont="1" applyFill="1"/>
    <xf numFmtId="0" fontId="14" fillId="0" borderId="3" xfId="5" applyNumberFormat="1" applyFont="1" applyFill="1" applyBorder="1" applyAlignment="1">
      <alignment horizontal="center"/>
    </xf>
    <xf numFmtId="164" fontId="14" fillId="0" borderId="3" xfId="54" applyFont="1" applyFill="1" applyBorder="1" applyAlignment="1">
      <alignment horizontal="center"/>
    </xf>
    <xf numFmtId="165" fontId="14" fillId="0" borderId="0" xfId="5" applyFont="1" applyFill="1" applyBorder="1" applyAlignment="1">
      <alignment horizontal="center"/>
    </xf>
    <xf numFmtId="0" fontId="14" fillId="0" borderId="0" xfId="5" applyNumberFormat="1" applyFont="1" applyFill="1" applyBorder="1" applyAlignment="1">
      <alignment horizontal="center"/>
    </xf>
    <xf numFmtId="165" fontId="9" fillId="0" borderId="0" xfId="5" applyFont="1" applyFill="1" applyBorder="1"/>
    <xf numFmtId="0" fontId="15" fillId="0" borderId="0" xfId="5" applyNumberFormat="1" applyFont="1" applyFill="1" applyBorder="1" applyAlignment="1">
      <alignment horizontal="center"/>
    </xf>
    <xf numFmtId="164" fontId="9" fillId="0" borderId="0" xfId="54" applyFont="1" applyFill="1" applyBorder="1"/>
    <xf numFmtId="164" fontId="9" fillId="0" borderId="0" xfId="8" applyFont="1" applyFill="1" applyBorder="1"/>
    <xf numFmtId="0" fontId="16" fillId="0" borderId="0" xfId="5" applyNumberFormat="1" applyFont="1" applyFill="1" applyBorder="1" applyAlignment="1">
      <alignment horizontal="center"/>
    </xf>
    <xf numFmtId="165" fontId="9" fillId="4" borderId="0" xfId="28" applyFont="1" applyFill="1"/>
    <xf numFmtId="165" fontId="9" fillId="0" borderId="0" xfId="28" applyFont="1" applyFill="1" applyBorder="1"/>
    <xf numFmtId="0" fontId="17" fillId="0" borderId="0" xfId="5" applyNumberFormat="1" applyFont="1" applyFill="1"/>
    <xf numFmtId="0" fontId="9" fillId="0" borderId="0" xfId="5" applyNumberFormat="1" applyFont="1" applyFill="1" applyAlignment="1">
      <alignment horizontal="center"/>
    </xf>
    <xf numFmtId="164" fontId="14" fillId="0" borderId="4" xfId="54" applyFont="1" applyFill="1" applyBorder="1"/>
    <xf numFmtId="165" fontId="9" fillId="0" borderId="0" xfId="5" applyFont="1" applyFill="1"/>
    <xf numFmtId="0" fontId="9" fillId="0" borderId="0" xfId="5" applyNumberFormat="1" applyFont="1" applyFill="1"/>
    <xf numFmtId="165" fontId="9" fillId="0" borderId="0" xfId="5" applyFont="1" applyFill="1" applyBorder="1" applyAlignment="1">
      <alignment horizontal="center"/>
    </xf>
    <xf numFmtId="164" fontId="14" fillId="0" borderId="4" xfId="8" applyFont="1" applyFill="1" applyBorder="1"/>
    <xf numFmtId="0" fontId="9" fillId="0" borderId="0" xfId="5" applyNumberFormat="1" applyFont="1" applyFill="1" applyBorder="1" applyAlignment="1">
      <alignment horizontal="right"/>
    </xf>
    <xf numFmtId="0" fontId="9" fillId="0" borderId="0" xfId="5" applyNumberFormat="1" applyFont="1" applyFill="1" applyBorder="1" applyAlignment="1">
      <alignment horizontal="center"/>
    </xf>
    <xf numFmtId="0" fontId="9" fillId="0" borderId="0" xfId="2" applyNumberFormat="1" applyFont="1" applyFill="1" applyBorder="1" applyAlignment="1">
      <alignment horizontal="center"/>
    </xf>
    <xf numFmtId="164" fontId="9" fillId="0" borderId="0" xfId="54" applyFont="1" applyFill="1" applyBorder="1" applyAlignment="1">
      <alignment horizontal="center"/>
    </xf>
    <xf numFmtId="0" fontId="14" fillId="0" borderId="0" xfId="2" applyNumberFormat="1" applyFont="1" applyFill="1" applyBorder="1" applyAlignment="1">
      <alignment horizontal="center"/>
    </xf>
    <xf numFmtId="164" fontId="14" fillId="0" borderId="0" xfId="8" applyFont="1" applyFill="1"/>
    <xf numFmtId="165" fontId="14" fillId="0" borderId="0" xfId="28" applyFont="1" applyFill="1"/>
    <xf numFmtId="164" fontId="9" fillId="0" borderId="0" xfId="8" applyFont="1" applyFill="1"/>
    <xf numFmtId="0" fontId="14" fillId="0" borderId="1" xfId="5" applyNumberFormat="1" applyFont="1" applyFill="1" applyBorder="1" applyAlignment="1"/>
    <xf numFmtId="164" fontId="9" fillId="0" borderId="1" xfId="8" applyFont="1" applyFill="1" applyBorder="1" applyAlignment="1"/>
    <xf numFmtId="164" fontId="9" fillId="0" borderId="2" xfId="8" applyFont="1" applyFill="1" applyBorder="1"/>
    <xf numFmtId="164" fontId="14" fillId="0" borderId="3" xfId="8" applyFont="1" applyFill="1" applyBorder="1" applyAlignment="1">
      <alignment horizontal="center"/>
    </xf>
    <xf numFmtId="164" fontId="9" fillId="0" borderId="0" xfId="8" applyFont="1" applyFill="1" applyBorder="1" applyAlignment="1">
      <alignment horizontal="center"/>
    </xf>
    <xf numFmtId="164" fontId="14" fillId="0" borderId="0" xfId="8" applyFont="1" applyFill="1" applyBorder="1"/>
    <xf numFmtId="164" fontId="3" fillId="0" borderId="0" xfId="54" applyFont="1" applyBorder="1"/>
    <xf numFmtId="164" fontId="4" fillId="0" borderId="0" xfId="54" applyFont="1" applyBorder="1"/>
    <xf numFmtId="165" fontId="9" fillId="6" borderId="0" xfId="28" applyFont="1" applyFill="1"/>
    <xf numFmtId="164" fontId="14" fillId="0" borderId="0" xfId="54" applyFont="1" applyFill="1" applyAlignment="1">
      <alignment horizontal="center"/>
    </xf>
    <xf numFmtId="164" fontId="9" fillId="0" borderId="0" xfId="54" applyFont="1" applyFill="1" applyAlignment="1">
      <alignment horizontal="center"/>
    </xf>
    <xf numFmtId="165" fontId="9" fillId="7" borderId="0" xfId="28" applyFont="1" applyFill="1"/>
    <xf numFmtId="164" fontId="4" fillId="0" borderId="0" xfId="54" applyFont="1"/>
    <xf numFmtId="165" fontId="14" fillId="0" borderId="0" xfId="28" applyFont="1" applyFill="1" applyBorder="1"/>
    <xf numFmtId="0" fontId="9" fillId="7" borderId="0" xfId="5" applyNumberFormat="1" applyFont="1" applyFill="1" applyBorder="1" applyAlignment="1">
      <alignment horizontal="center"/>
    </xf>
    <xf numFmtId="0" fontId="9" fillId="4" borderId="0" xfId="5" applyNumberFormat="1" applyFont="1" applyFill="1" applyBorder="1" applyAlignment="1">
      <alignment horizontal="center"/>
    </xf>
    <xf numFmtId="0" fontId="9" fillId="8" borderId="0" xfId="5" applyNumberFormat="1" applyFont="1" applyFill="1" applyBorder="1" applyAlignment="1">
      <alignment horizontal="center"/>
    </xf>
    <xf numFmtId="0" fontId="9" fillId="10" borderId="0" xfId="5" applyNumberFormat="1" applyFont="1" applyFill="1" applyBorder="1" applyAlignment="1">
      <alignment horizontal="center"/>
    </xf>
    <xf numFmtId="0" fontId="9" fillId="11" borderId="0" xfId="5" applyNumberFormat="1" applyFont="1" applyFill="1" applyBorder="1" applyAlignment="1">
      <alignment horizontal="center"/>
    </xf>
    <xf numFmtId="0" fontId="14" fillId="9" borderId="0" xfId="5" applyNumberFormat="1" applyFont="1" applyFill="1" applyBorder="1" applyAlignment="1">
      <alignment horizontal="center"/>
    </xf>
    <xf numFmtId="0" fontId="14" fillId="5" borderId="0" xfId="5" applyNumberFormat="1" applyFont="1" applyFill="1" applyBorder="1" applyAlignment="1">
      <alignment horizontal="center"/>
    </xf>
    <xf numFmtId="164" fontId="14" fillId="0" borderId="0" xfId="54" applyFont="1" applyFill="1" applyBorder="1"/>
    <xf numFmtId="164" fontId="3" fillId="3" borderId="0" xfId="2" quotePrefix="1" applyFont="1" applyFill="1" applyBorder="1"/>
    <xf numFmtId="164" fontId="14" fillId="0" borderId="4" xfId="5" applyNumberFormat="1" applyFont="1" applyFill="1" applyBorder="1" applyAlignment="1"/>
    <xf numFmtId="165" fontId="9" fillId="4" borderId="0" xfId="5" applyFont="1" applyFill="1" applyBorder="1"/>
    <xf numFmtId="0" fontId="15" fillId="4" borderId="0" xfId="5" applyNumberFormat="1" applyFont="1" applyFill="1" applyBorder="1" applyAlignment="1">
      <alignment horizontal="center"/>
    </xf>
    <xf numFmtId="164" fontId="3" fillId="3" borderId="0" xfId="1" applyNumberFormat="1" applyFont="1" applyFill="1"/>
    <xf numFmtId="165" fontId="9" fillId="12" borderId="0" xfId="5" applyFont="1" applyFill="1" applyBorder="1"/>
    <xf numFmtId="0" fontId="15" fillId="12" borderId="0" xfId="5" applyNumberFormat="1" applyFont="1" applyFill="1" applyBorder="1" applyAlignment="1">
      <alignment horizontal="center"/>
    </xf>
    <xf numFmtId="0" fontId="9" fillId="12" borderId="0" xfId="5" applyNumberFormat="1" applyFont="1" applyFill="1" applyBorder="1" applyAlignment="1">
      <alignment horizontal="center"/>
    </xf>
    <xf numFmtId="165" fontId="9" fillId="13" borderId="0" xfId="5" applyFont="1" applyFill="1" applyBorder="1"/>
    <xf numFmtId="0" fontId="15" fillId="13" borderId="0" xfId="5" applyNumberFormat="1" applyFont="1" applyFill="1" applyBorder="1" applyAlignment="1">
      <alignment horizontal="center"/>
    </xf>
    <xf numFmtId="0" fontId="9" fillId="13" borderId="0" xfId="5" applyNumberFormat="1" applyFont="1" applyFill="1" applyBorder="1" applyAlignment="1">
      <alignment horizontal="center"/>
    </xf>
    <xf numFmtId="0" fontId="4" fillId="3" borderId="0" xfId="54" quotePrefix="1" applyNumberFormat="1" applyFont="1" applyFill="1" applyAlignment="1">
      <alignment horizontal="center"/>
    </xf>
    <xf numFmtId="0" fontId="4" fillId="3" borderId="0" xfId="54" quotePrefix="1" applyNumberFormat="1" applyFont="1" applyFill="1" applyAlignment="1">
      <alignment horizontal="center" wrapText="1"/>
    </xf>
    <xf numFmtId="164" fontId="4" fillId="3" borderId="7" xfId="2" applyFont="1" applyFill="1" applyBorder="1"/>
    <xf numFmtId="164" fontId="21" fillId="3" borderId="7" xfId="2" applyFont="1" applyFill="1" applyBorder="1"/>
    <xf numFmtId="164" fontId="21" fillId="3" borderId="1" xfId="2" applyFont="1" applyFill="1" applyBorder="1"/>
    <xf numFmtId="164" fontId="21" fillId="3" borderId="0" xfId="2" applyFont="1" applyFill="1" applyBorder="1"/>
    <xf numFmtId="164" fontId="4" fillId="3" borderId="8" xfId="2" applyFont="1" applyFill="1" applyBorder="1"/>
    <xf numFmtId="164" fontId="9" fillId="0" borderId="0" xfId="54" applyFont="1" applyFill="1" applyBorder="1" applyAlignment="1"/>
    <xf numFmtId="165" fontId="9" fillId="14" borderId="0" xfId="5" applyFont="1" applyFill="1" applyBorder="1"/>
    <xf numFmtId="0" fontId="15" fillId="14" borderId="0" xfId="5" applyNumberFormat="1" applyFont="1" applyFill="1" applyBorder="1" applyAlignment="1">
      <alignment horizontal="center"/>
    </xf>
    <xf numFmtId="0" fontId="9" fillId="14" borderId="0" xfId="5" applyNumberFormat="1" applyFont="1" applyFill="1" applyBorder="1" applyAlignment="1">
      <alignment horizontal="center"/>
    </xf>
    <xf numFmtId="165" fontId="14" fillId="14" borderId="0" xfId="5" applyFont="1" applyFill="1" applyBorder="1"/>
    <xf numFmtId="0" fontId="16" fillId="14" borderId="0" xfId="5" applyNumberFormat="1" applyFont="1" applyFill="1" applyBorder="1" applyAlignment="1">
      <alignment horizontal="center"/>
    </xf>
    <xf numFmtId="0" fontId="14" fillId="14" borderId="0" xfId="5" applyNumberFormat="1" applyFont="1" applyFill="1" applyBorder="1" applyAlignment="1">
      <alignment horizontal="center"/>
    </xf>
    <xf numFmtId="165" fontId="4" fillId="0" borderId="0" xfId="28" applyFont="1" applyAlignment="1">
      <alignment horizontal="center"/>
    </xf>
    <xf numFmtId="165" fontId="4" fillId="0" borderId="0" xfId="28" applyFont="1" applyAlignment="1">
      <alignment horizontal="center"/>
    </xf>
    <xf numFmtId="0" fontId="14" fillId="15" borderId="0" xfId="5" applyNumberFormat="1" applyFont="1" applyFill="1" applyBorder="1" applyAlignment="1">
      <alignment horizontal="center"/>
    </xf>
    <xf numFmtId="165" fontId="14" fillId="15" borderId="0" xfId="5" applyFont="1" applyFill="1" applyBorder="1"/>
    <xf numFmtId="0" fontId="16" fillId="15" borderId="0" xfId="5" applyNumberFormat="1" applyFont="1" applyFill="1" applyBorder="1" applyAlignment="1">
      <alignment horizontal="center"/>
    </xf>
    <xf numFmtId="165" fontId="14" fillId="15" borderId="0" xfId="5" applyFont="1" applyFill="1" applyBorder="1" applyAlignment="1"/>
    <xf numFmtId="164" fontId="22" fillId="3" borderId="0" xfId="54" applyFont="1" applyFill="1" applyBorder="1" applyAlignment="1">
      <alignment horizontal="right" vertical="center" wrapText="1"/>
    </xf>
    <xf numFmtId="164" fontId="3" fillId="3" borderId="0" xfId="54" applyFont="1" applyFill="1" applyAlignment="1">
      <alignment horizontal="center"/>
    </xf>
    <xf numFmtId="165" fontId="4" fillId="0" borderId="0" xfId="28" applyFont="1" applyAlignment="1">
      <alignment horizontal="center"/>
    </xf>
    <xf numFmtId="164" fontId="5" fillId="0" borderId="0" xfId="54" applyFont="1"/>
    <xf numFmtId="165" fontId="3" fillId="0" borderId="0" xfId="28" applyFont="1" applyAlignment="1">
      <alignment horizontal="center"/>
    </xf>
    <xf numFmtId="165" fontId="14" fillId="16" borderId="0" xfId="5" applyFont="1" applyFill="1" applyBorder="1"/>
    <xf numFmtId="0" fontId="16" fillId="16" borderId="0" xfId="5" applyNumberFormat="1" applyFont="1" applyFill="1" applyBorder="1" applyAlignment="1">
      <alignment horizontal="center"/>
    </xf>
    <xf numFmtId="0" fontId="14" fillId="16" borderId="0" xfId="5" applyNumberFormat="1" applyFont="1" applyFill="1" applyBorder="1" applyAlignment="1">
      <alignment horizontal="center"/>
    </xf>
    <xf numFmtId="164" fontId="14" fillId="0" borderId="4" xfId="54" applyFont="1" applyFill="1" applyBorder="1" applyAlignment="1"/>
    <xf numFmtId="165" fontId="9" fillId="0" borderId="0" xfId="5" applyFont="1" applyFill="1" applyBorder="1" applyAlignment="1">
      <alignment vertical="center" wrapText="1"/>
    </xf>
    <xf numFmtId="0" fontId="9" fillId="0" borderId="0" xfId="5" applyNumberFormat="1" applyFont="1" applyFill="1" applyBorder="1" applyAlignment="1">
      <alignment horizontal="center" vertical="center"/>
    </xf>
    <xf numFmtId="164" fontId="9" fillId="0" borderId="0" xfId="54" applyFont="1" applyFill="1" applyAlignment="1">
      <alignment vertical="center"/>
    </xf>
    <xf numFmtId="165" fontId="9" fillId="0" borderId="0" xfId="28" applyFont="1" applyFill="1" applyAlignment="1">
      <alignment vertical="center"/>
    </xf>
    <xf numFmtId="165" fontId="9" fillId="0" borderId="0" xfId="5" applyFont="1" applyFill="1" applyBorder="1" applyAlignment="1">
      <alignment wrapText="1"/>
    </xf>
    <xf numFmtId="165" fontId="22" fillId="3" borderId="0" xfId="1" applyFont="1" applyFill="1"/>
    <xf numFmtId="164" fontId="22" fillId="3" borderId="0" xfId="54" applyFont="1" applyFill="1"/>
    <xf numFmtId="49" fontId="12" fillId="3" borderId="0" xfId="1" applyNumberFormat="1" applyFont="1" applyFill="1" applyBorder="1" applyAlignment="1">
      <alignment horizontal="center"/>
    </xf>
    <xf numFmtId="164" fontId="12" fillId="3" borderId="0" xfId="54" applyFont="1" applyFill="1" applyBorder="1" applyAlignment="1">
      <alignment horizontal="center"/>
    </xf>
    <xf numFmtId="165" fontId="21" fillId="3" borderId="0" xfId="1" applyFont="1" applyFill="1" applyBorder="1" applyAlignment="1">
      <alignment horizontal="left"/>
    </xf>
    <xf numFmtId="165" fontId="21" fillId="3" borderId="0" xfId="1" applyFont="1" applyFill="1" applyAlignment="1">
      <alignment horizontal="left"/>
    </xf>
    <xf numFmtId="165" fontId="21" fillId="3" borderId="0" xfId="1" applyFont="1" applyFill="1" applyAlignment="1">
      <alignment horizontal="centerContinuous"/>
    </xf>
    <xf numFmtId="165" fontId="12" fillId="3" borderId="0" xfId="1" applyFont="1" applyFill="1" applyAlignment="1">
      <alignment horizontal="centerContinuous"/>
    </xf>
    <xf numFmtId="164" fontId="21" fillId="3" borderId="0" xfId="54" applyFont="1" applyFill="1" applyAlignment="1">
      <alignment horizontal="centerContinuous"/>
    </xf>
    <xf numFmtId="165" fontId="21" fillId="3" borderId="0" xfId="1" applyFont="1" applyFill="1" applyBorder="1" applyAlignment="1">
      <alignment horizontal="centerContinuous"/>
    </xf>
    <xf numFmtId="165" fontId="24" fillId="3" borderId="0" xfId="1" applyFont="1" applyFill="1" applyAlignment="1">
      <alignment horizontal="centerContinuous"/>
    </xf>
    <xf numFmtId="165" fontId="25" fillId="3" borderId="0" xfId="1" applyFont="1" applyFill="1" applyAlignment="1">
      <alignment horizontal="centerContinuous"/>
    </xf>
    <xf numFmtId="164" fontId="24" fillId="3" borderId="0" xfId="54" applyFont="1" applyFill="1" applyAlignment="1">
      <alignment horizontal="centerContinuous"/>
    </xf>
    <xf numFmtId="165" fontId="24" fillId="3" borderId="0" xfId="1" applyFont="1" applyFill="1" applyBorder="1" applyAlignment="1">
      <alignment horizontal="centerContinuous"/>
    </xf>
    <xf numFmtId="164" fontId="26" fillId="3" borderId="0" xfId="54" applyFont="1" applyFill="1"/>
    <xf numFmtId="165" fontId="26" fillId="3" borderId="0" xfId="1" applyFont="1" applyFill="1"/>
    <xf numFmtId="165" fontId="21" fillId="3" borderId="0" xfId="1" applyFont="1" applyFill="1"/>
    <xf numFmtId="165" fontId="25" fillId="3" borderId="0" xfId="1" applyFont="1" applyFill="1" applyAlignment="1">
      <alignment horizontal="left"/>
    </xf>
    <xf numFmtId="165" fontId="25" fillId="3" borderId="0" xfId="1" applyFont="1" applyFill="1" applyAlignment="1">
      <alignment horizontal="center"/>
    </xf>
    <xf numFmtId="164" fontId="25" fillId="3" borderId="0" xfId="54" applyFont="1" applyFill="1"/>
    <xf numFmtId="164" fontId="25" fillId="3" borderId="0" xfId="2" applyFont="1" applyFill="1" applyBorder="1" applyAlignment="1"/>
    <xf numFmtId="165" fontId="25" fillId="3" borderId="0" xfId="1" applyFont="1" applyFill="1"/>
    <xf numFmtId="164" fontId="24" fillId="3" borderId="1" xfId="54" applyFont="1" applyFill="1" applyBorder="1"/>
    <xf numFmtId="164" fontId="25" fillId="3" borderId="0" xfId="54" applyFont="1" applyFill="1" applyBorder="1"/>
    <xf numFmtId="165" fontId="26" fillId="3" borderId="0" xfId="1" applyFont="1" applyFill="1" applyBorder="1"/>
    <xf numFmtId="164" fontId="25" fillId="3" borderId="1" xfId="54" applyFont="1" applyFill="1" applyBorder="1"/>
    <xf numFmtId="165" fontId="25" fillId="3" borderId="0" xfId="3" applyFont="1" applyFill="1"/>
    <xf numFmtId="164" fontId="24" fillId="3" borderId="0" xfId="54" applyFont="1" applyFill="1"/>
    <xf numFmtId="164" fontId="24" fillId="3" borderId="0" xfId="2" applyFont="1" applyFill="1" applyBorder="1" applyAlignment="1"/>
    <xf numFmtId="164" fontId="24" fillId="3" borderId="0" xfId="54" applyFont="1" applyFill="1" applyBorder="1"/>
    <xf numFmtId="165" fontId="24" fillId="3" borderId="0" xfId="1" applyFont="1" applyFill="1"/>
    <xf numFmtId="164" fontId="25" fillId="3" borderId="7" xfId="54" applyFont="1" applyFill="1" applyBorder="1"/>
    <xf numFmtId="164" fontId="25" fillId="3" borderId="0" xfId="2" applyFont="1" applyFill="1"/>
    <xf numFmtId="164" fontId="27" fillId="3" borderId="0" xfId="54" applyFont="1" applyFill="1"/>
    <xf numFmtId="165" fontId="25" fillId="3" borderId="0" xfId="1" quotePrefix="1" applyFont="1" applyFill="1" applyAlignment="1">
      <alignment horizontal="left" wrapText="1"/>
    </xf>
    <xf numFmtId="164" fontId="25" fillId="3" borderId="8" xfId="54" applyFont="1" applyFill="1" applyBorder="1"/>
    <xf numFmtId="165" fontId="24" fillId="3" borderId="0" xfId="1" applyFont="1" applyFill="1" applyAlignment="1">
      <alignment horizontal="left"/>
    </xf>
    <xf numFmtId="164" fontId="12" fillId="3" borderId="0" xfId="54" applyFont="1" applyFill="1"/>
    <xf numFmtId="164" fontId="28" fillId="3" borderId="9" xfId="54" applyFont="1" applyFill="1" applyBorder="1" applyAlignment="1">
      <alignment horizontal="right" vertical="center" wrapText="1"/>
    </xf>
    <xf numFmtId="164" fontId="28" fillId="3" borderId="0" xfId="54" applyFont="1" applyFill="1" applyBorder="1" applyAlignment="1">
      <alignment horizontal="right" vertical="center" wrapText="1"/>
    </xf>
    <xf numFmtId="164" fontId="26" fillId="3" borderId="0" xfId="54" applyFont="1" applyFill="1" applyBorder="1"/>
    <xf numFmtId="164" fontId="24" fillId="3" borderId="6" xfId="54" applyFont="1" applyFill="1" applyBorder="1"/>
    <xf numFmtId="165" fontId="25" fillId="3" borderId="0" xfId="1" applyNumberFormat="1" applyFont="1" applyFill="1" applyAlignment="1">
      <alignment horizontal="center"/>
    </xf>
    <xf numFmtId="165" fontId="12" fillId="3" borderId="0" xfId="1" applyFont="1" applyFill="1"/>
    <xf numFmtId="165" fontId="12" fillId="3" borderId="0" xfId="1" applyFont="1" applyFill="1" applyAlignment="1">
      <alignment horizontal="left"/>
    </xf>
    <xf numFmtId="165" fontId="12" fillId="3" borderId="0" xfId="1" applyFont="1" applyFill="1" applyAlignment="1">
      <alignment horizontal="center"/>
    </xf>
    <xf numFmtId="164" fontId="12" fillId="3" borderId="0" xfId="2" applyFont="1" applyFill="1" applyBorder="1"/>
    <xf numFmtId="165" fontId="21" fillId="3" borderId="0" xfId="1" applyFont="1" applyFill="1" applyAlignment="1">
      <alignment horizontal="center"/>
    </xf>
    <xf numFmtId="164" fontId="21" fillId="3" borderId="0" xfId="54" applyFont="1" applyFill="1"/>
    <xf numFmtId="165" fontId="27" fillId="3" borderId="0" xfId="1" applyFont="1" applyFill="1"/>
    <xf numFmtId="165" fontId="4" fillId="0" borderId="0" xfId="28" applyFont="1" applyAlignment="1">
      <alignment horizontal="center"/>
    </xf>
    <xf numFmtId="165" fontId="12" fillId="3" borderId="0" xfId="3" applyFont="1" applyFill="1" applyAlignment="1">
      <alignment horizontal="center"/>
    </xf>
    <xf numFmtId="165" fontId="12" fillId="3" borderId="0" xfId="1" applyFont="1" applyFill="1" applyAlignment="1"/>
    <xf numFmtId="0" fontId="14" fillId="0" borderId="0" xfId="5" applyNumberFormat="1" applyFont="1" applyFill="1"/>
    <xf numFmtId="165" fontId="5" fillId="3" borderId="0" xfId="3" applyFont="1" applyFill="1"/>
    <xf numFmtId="164" fontId="5" fillId="3" borderId="0" xfId="54" applyFont="1" applyFill="1"/>
    <xf numFmtId="10" fontId="25" fillId="3" borderId="0" xfId="4" applyNumberFormat="1" applyFont="1" applyFill="1"/>
    <xf numFmtId="164" fontId="25" fillId="3" borderId="0" xfId="4" applyNumberFormat="1" applyFont="1" applyFill="1"/>
    <xf numFmtId="164" fontId="5" fillId="3" borderId="0" xfId="54" applyFont="1" applyFill="1" applyBorder="1"/>
    <xf numFmtId="165" fontId="5" fillId="3" borderId="0" xfId="3" applyFont="1" applyFill="1" applyBorder="1"/>
    <xf numFmtId="164" fontId="30" fillId="3" borderId="0" xfId="54" applyFont="1" applyFill="1" applyBorder="1" applyAlignment="1">
      <alignment horizontal="right" vertical="center" wrapText="1"/>
    </xf>
    <xf numFmtId="164" fontId="29" fillId="3" borderId="0" xfId="54" applyFont="1" applyFill="1"/>
    <xf numFmtId="165" fontId="29" fillId="3" borderId="0" xfId="3" applyFont="1" applyFill="1"/>
    <xf numFmtId="49" fontId="4" fillId="3" borderId="0" xfId="54" applyNumberFormat="1" applyFont="1" applyFill="1" applyAlignment="1">
      <alignment horizontal="center"/>
    </xf>
    <xf numFmtId="49" fontId="4" fillId="3" borderId="0" xfId="54" quotePrefix="1" applyNumberFormat="1" applyFont="1" applyFill="1" applyAlignment="1">
      <alignment horizontal="center" wrapText="1"/>
    </xf>
    <xf numFmtId="164" fontId="4" fillId="3" borderId="7" xfId="54" applyFont="1" applyFill="1" applyBorder="1"/>
    <xf numFmtId="165" fontId="4" fillId="3" borderId="0" xfId="1" applyFont="1" applyFill="1" applyAlignment="1">
      <alignment vertical="center"/>
    </xf>
    <xf numFmtId="165" fontId="3" fillId="3" borderId="0" xfId="1" applyFont="1" applyFill="1" applyAlignment="1">
      <alignment horizontal="left" vertical="center" wrapText="1"/>
    </xf>
    <xf numFmtId="165" fontId="12" fillId="3" borderId="0" xfId="1" applyFont="1" applyFill="1" applyAlignment="1">
      <alignment horizontal="center" vertical="center"/>
    </xf>
    <xf numFmtId="164" fontId="3" fillId="3" borderId="0" xfId="2" applyFont="1" applyFill="1" applyAlignment="1">
      <alignment vertical="center"/>
    </xf>
    <xf numFmtId="164" fontId="25" fillId="3" borderId="0" xfId="4" applyNumberFormat="1" applyFont="1" applyFill="1" applyAlignment="1">
      <alignment vertical="center"/>
    </xf>
    <xf numFmtId="164" fontId="5" fillId="3" borderId="0" xfId="54" applyFont="1" applyFill="1" applyAlignment="1">
      <alignment vertical="center"/>
    </xf>
    <xf numFmtId="165" fontId="5" fillId="3" borderId="0" xfId="3" applyFont="1" applyFill="1" applyAlignment="1">
      <alignment vertical="center"/>
    </xf>
    <xf numFmtId="165" fontId="5" fillId="3" borderId="0" xfId="3" applyFont="1" applyFill="1" applyBorder="1" applyAlignment="1">
      <alignment vertical="center"/>
    </xf>
    <xf numFmtId="165" fontId="3" fillId="3" borderId="0" xfId="1" applyFont="1" applyFill="1" applyBorder="1" applyAlignment="1">
      <alignment horizontal="left"/>
    </xf>
    <xf numFmtId="165" fontId="12" fillId="3" borderId="0" xfId="1" applyFont="1" applyFill="1" applyBorder="1" applyAlignment="1">
      <alignment horizontal="left"/>
    </xf>
    <xf numFmtId="164" fontId="25" fillId="3" borderId="0" xfId="4" applyNumberFormat="1" applyFont="1" applyFill="1" applyBorder="1"/>
    <xf numFmtId="164" fontId="3" fillId="3" borderId="0" xfId="54" applyFont="1" applyFill="1" applyBorder="1"/>
    <xf numFmtId="164" fontId="13" fillId="3" borderId="0" xfId="2" applyFont="1" applyFill="1" applyBorder="1" applyAlignment="1">
      <alignment horizontal="center"/>
    </xf>
    <xf numFmtId="164" fontId="31" fillId="3" borderId="0" xfId="54" applyFont="1" applyFill="1"/>
    <xf numFmtId="164" fontId="4" fillId="3" borderId="0" xfId="54" quotePrefix="1" applyFont="1" applyFill="1" applyAlignment="1">
      <alignment horizontal="center" wrapText="1"/>
    </xf>
    <xf numFmtId="164" fontId="2" fillId="3" borderId="0" xfId="54" applyFont="1" applyFill="1"/>
    <xf numFmtId="164" fontId="29" fillId="3" borderId="1" xfId="54" applyFont="1" applyFill="1" applyBorder="1"/>
    <xf numFmtId="164" fontId="5" fillId="3" borderId="1" xfId="54" applyFont="1" applyFill="1" applyBorder="1"/>
    <xf numFmtId="164" fontId="29" fillId="3" borderId="0" xfId="54" applyFont="1" applyFill="1" applyBorder="1"/>
    <xf numFmtId="164" fontId="29" fillId="3" borderId="7" xfId="54" applyFont="1" applyFill="1" applyBorder="1"/>
    <xf numFmtId="164" fontId="5" fillId="3" borderId="7" xfId="54" applyFont="1" applyFill="1" applyBorder="1"/>
    <xf numFmtId="164" fontId="5" fillId="3" borderId="8" xfId="54" applyFont="1" applyFill="1" applyBorder="1"/>
    <xf numFmtId="164" fontId="29" fillId="3" borderId="6" xfId="54" applyFont="1" applyFill="1" applyBorder="1"/>
    <xf numFmtId="164" fontId="32" fillId="3" borderId="0" xfId="54" applyFont="1" applyFill="1"/>
    <xf numFmtId="164" fontId="9" fillId="4" borderId="0" xfId="54" applyFont="1" applyFill="1"/>
    <xf numFmtId="164" fontId="9" fillId="6" borderId="0" xfId="54" applyFont="1" applyFill="1"/>
    <xf numFmtId="164" fontId="9" fillId="7" borderId="0" xfId="54" applyFont="1" applyFill="1"/>
    <xf numFmtId="165" fontId="13" fillId="3" borderId="0" xfId="1" applyFont="1" applyFill="1" applyBorder="1" applyAlignment="1">
      <alignment horizontal="center"/>
    </xf>
    <xf numFmtId="165" fontId="13" fillId="3" borderId="0" xfId="1" applyFont="1" applyFill="1" applyAlignment="1">
      <alignment horizontal="center"/>
    </xf>
    <xf numFmtId="165" fontId="3" fillId="0" borderId="0" xfId="28" applyFont="1" applyFill="1" applyBorder="1"/>
    <xf numFmtId="165" fontId="14" fillId="4" borderId="0" xfId="5" applyFont="1" applyFill="1" applyBorder="1"/>
    <xf numFmtId="0" fontId="16" fillId="4" borderId="0" xfId="5" applyNumberFormat="1" applyFont="1" applyFill="1" applyBorder="1" applyAlignment="1">
      <alignment horizontal="center"/>
    </xf>
    <xf numFmtId="0" fontId="14" fillId="4" borderId="0" xfId="5" applyNumberFormat="1" applyFont="1" applyFill="1" applyBorder="1" applyAlignment="1">
      <alignment horizontal="center"/>
    </xf>
    <xf numFmtId="165" fontId="14" fillId="0" borderId="0" xfId="5" applyFont="1" applyFill="1" applyBorder="1" applyAlignment="1">
      <alignment horizontal="center" wrapText="1"/>
    </xf>
    <xf numFmtId="165" fontId="9" fillId="0" borderId="0" xfId="28" applyFont="1" applyFill="1" applyBorder="1" applyAlignment="1">
      <alignment vertical="top" wrapText="1"/>
    </xf>
    <xf numFmtId="165" fontId="9" fillId="0" borderId="0" xfId="28" applyFont="1" applyFill="1" applyBorder="1" applyAlignment="1">
      <alignment wrapText="1"/>
    </xf>
    <xf numFmtId="165" fontId="9" fillId="0" borderId="0" xfId="5" applyFont="1" applyFill="1" applyAlignment="1">
      <alignment wrapText="1"/>
    </xf>
    <xf numFmtId="165" fontId="14" fillId="0" borderId="0" xfId="5" applyFont="1" applyFill="1" applyAlignment="1">
      <alignment wrapText="1"/>
    </xf>
    <xf numFmtId="165" fontId="9" fillId="0" borderId="0" xfId="5" applyFont="1" applyFill="1" applyBorder="1" applyAlignment="1">
      <alignment horizontal="center" wrapText="1"/>
    </xf>
    <xf numFmtId="165" fontId="14" fillId="0" borderId="0" xfId="1" applyFont="1" applyFill="1" applyAlignment="1">
      <alignment horizontal="center" wrapText="1"/>
    </xf>
    <xf numFmtId="165" fontId="9" fillId="0" borderId="0" xfId="1" applyFont="1" applyFill="1" applyAlignment="1">
      <alignment horizontal="center" wrapText="1"/>
    </xf>
    <xf numFmtId="0" fontId="14" fillId="0" borderId="5" xfId="5" applyNumberFormat="1" applyFont="1" applyFill="1" applyBorder="1" applyAlignment="1">
      <alignment horizontal="center" vertical="center"/>
    </xf>
    <xf numFmtId="0" fontId="14" fillId="0" borderId="3" xfId="5" applyNumberFormat="1" applyFont="1" applyFill="1" applyBorder="1" applyAlignment="1">
      <alignment horizontal="center" vertical="center"/>
    </xf>
    <xf numFmtId="0" fontId="9" fillId="0" borderId="0" xfId="5" applyNumberFormat="1" applyFont="1" applyFill="1" applyAlignment="1">
      <alignment vertical="center"/>
    </xf>
    <xf numFmtId="0" fontId="9" fillId="0" borderId="0" xfId="5" applyNumberFormat="1" applyFont="1" applyFill="1" applyAlignment="1">
      <alignment horizontal="center" vertical="center"/>
    </xf>
    <xf numFmtId="0" fontId="9" fillId="0" borderId="0" xfId="2" applyNumberFormat="1" applyFont="1" applyFill="1" applyBorder="1" applyAlignment="1">
      <alignment horizontal="center" vertical="center"/>
    </xf>
    <xf numFmtId="49" fontId="14" fillId="0" borderId="1" xfId="5" applyNumberFormat="1" applyFont="1" applyFill="1" applyBorder="1" applyAlignment="1">
      <alignment wrapText="1"/>
    </xf>
    <xf numFmtId="165" fontId="3" fillId="0" borderId="0" xfId="5" applyFont="1" applyFill="1" applyBorder="1" applyAlignment="1">
      <alignment wrapText="1"/>
    </xf>
    <xf numFmtId="49" fontId="9" fillId="0" borderId="0" xfId="5" applyNumberFormat="1" applyFont="1" applyFill="1" applyBorder="1" applyAlignment="1">
      <alignment wrapText="1"/>
    </xf>
    <xf numFmtId="0" fontId="9" fillId="0" borderId="1" xfId="5" applyNumberFormat="1" applyFont="1" applyFill="1" applyBorder="1" applyAlignment="1">
      <alignment horizontal="center" vertical="center"/>
    </xf>
    <xf numFmtId="0" fontId="3" fillId="0" borderId="0" xfId="5" applyNumberFormat="1" applyFont="1" applyFill="1" applyBorder="1" applyAlignment="1">
      <alignment horizontal="center" vertical="center"/>
    </xf>
    <xf numFmtId="0" fontId="14" fillId="0" borderId="0" xfId="5" applyNumberFormat="1" applyFont="1" applyFill="1" applyBorder="1" applyAlignment="1">
      <alignment horizontal="center" vertical="center"/>
    </xf>
    <xf numFmtId="165" fontId="15" fillId="0" borderId="0" xfId="28" applyFont="1" applyFill="1"/>
    <xf numFmtId="164" fontId="15" fillId="0" borderId="0" xfId="8" applyFont="1" applyFill="1" applyBorder="1"/>
    <xf numFmtId="164" fontId="16" fillId="0" borderId="4" xfId="5" applyNumberFormat="1" applyFont="1" applyFill="1" applyBorder="1" applyAlignment="1"/>
    <xf numFmtId="164" fontId="16" fillId="0" borderId="0" xfId="8" applyFont="1" applyFill="1" applyBorder="1"/>
    <xf numFmtId="164" fontId="15" fillId="0" borderId="0" xfId="54" applyFont="1" applyFill="1"/>
    <xf numFmtId="165" fontId="3" fillId="0" borderId="0" xfId="28" quotePrefix="1" applyFont="1"/>
    <xf numFmtId="164" fontId="24" fillId="3" borderId="7" xfId="54" applyFont="1" applyFill="1" applyBorder="1"/>
    <xf numFmtId="0" fontId="9" fillId="17" borderId="0" xfId="5" applyNumberFormat="1" applyFont="1" applyFill="1" applyBorder="1" applyAlignment="1">
      <alignment horizontal="center"/>
    </xf>
    <xf numFmtId="165" fontId="25" fillId="3" borderId="0" xfId="1" applyFont="1" applyFill="1" applyAlignment="1">
      <alignment horizontal="left" wrapText="1"/>
    </xf>
    <xf numFmtId="165" fontId="4" fillId="0" borderId="0" xfId="28" applyFont="1" applyAlignment="1">
      <alignment horizontal="center"/>
    </xf>
    <xf numFmtId="0" fontId="21" fillId="3" borderId="0" xfId="1" applyNumberFormat="1" applyFont="1" applyFill="1" applyAlignment="1">
      <alignment horizontal="center"/>
    </xf>
    <xf numFmtId="0" fontId="21" fillId="3" borderId="0" xfId="3" applyNumberFormat="1" applyFont="1" applyFill="1" applyBorder="1" applyAlignment="1">
      <alignment horizontal="center"/>
    </xf>
    <xf numFmtId="165" fontId="4" fillId="3" borderId="0" xfId="1" applyFont="1" applyFill="1" applyBorder="1" applyAlignment="1">
      <alignment horizontal="center"/>
    </xf>
    <xf numFmtId="164" fontId="4" fillId="3" borderId="0" xfId="54" applyFont="1" applyFill="1" applyBorder="1" applyAlignment="1"/>
    <xf numFmtId="164" fontId="4" fillId="3" borderId="0" xfId="54" quotePrefix="1" applyFont="1" applyFill="1" applyBorder="1" applyAlignment="1">
      <alignment horizontal="center"/>
    </xf>
    <xf numFmtId="164" fontId="3" fillId="3" borderId="0" xfId="54" applyFont="1" applyFill="1" applyBorder="1" applyAlignment="1"/>
    <xf numFmtId="164" fontId="4" fillId="3" borderId="1" xfId="54" applyFont="1" applyFill="1" applyBorder="1" applyAlignment="1"/>
    <xf numFmtId="164" fontId="3" fillId="3" borderId="0" xfId="54" applyFont="1" applyFill="1" applyBorder="1" applyAlignment="1">
      <alignment horizontal="left"/>
    </xf>
    <xf numFmtId="164" fontId="3" fillId="3" borderId="0" xfId="54" applyFont="1" applyFill="1" applyAlignment="1"/>
    <xf numFmtId="164" fontId="3" fillId="3" borderId="0" xfId="54" applyFont="1" applyFill="1" applyBorder="1" applyAlignment="1">
      <alignment horizontal="center"/>
    </xf>
    <xf numFmtId="164" fontId="4" fillId="3" borderId="6" xfId="54" applyFont="1" applyFill="1" applyBorder="1" applyAlignment="1">
      <alignment horizontal="center"/>
    </xf>
    <xf numFmtId="164" fontId="4" fillId="3" borderId="0" xfId="54" applyFont="1" applyFill="1" applyBorder="1" applyAlignment="1">
      <alignment horizontal="center"/>
    </xf>
    <xf numFmtId="164" fontId="3" fillId="3" borderId="0" xfId="54" applyFont="1" applyFill="1" applyBorder="1" applyAlignment="1">
      <alignment horizontal="right"/>
    </xf>
    <xf numFmtId="165" fontId="13" fillId="3" borderId="0" xfId="1" applyNumberFormat="1" applyFont="1" applyFill="1" applyAlignment="1">
      <alignment horizontal="center"/>
    </xf>
    <xf numFmtId="0" fontId="21" fillId="3" borderId="0" xfId="1" quotePrefix="1" applyNumberFormat="1" applyFont="1" applyFill="1" applyAlignment="1">
      <alignment horizontal="center"/>
    </xf>
    <xf numFmtId="0" fontId="21" fillId="3" borderId="0" xfId="1" applyNumberFormat="1" applyFont="1" applyFill="1" applyBorder="1" applyAlignment="1">
      <alignment horizontal="center"/>
    </xf>
    <xf numFmtId="0" fontId="21" fillId="3" borderId="0" xfId="54" applyNumberFormat="1" applyFont="1" applyFill="1" applyAlignment="1">
      <alignment horizontal="center"/>
    </xf>
    <xf numFmtId="165" fontId="4" fillId="3" borderId="0" xfId="3" applyFont="1" applyFill="1"/>
    <xf numFmtId="165" fontId="25" fillId="3" borderId="0" xfId="1" applyFont="1" applyFill="1" applyAlignment="1">
      <alignment wrapText="1"/>
    </xf>
    <xf numFmtId="164" fontId="23" fillId="3" borderId="10" xfId="54" applyFont="1" applyFill="1" applyBorder="1" applyAlignment="1">
      <alignment horizontal="right" vertical="center" wrapText="1"/>
    </xf>
    <xf numFmtId="164" fontId="23" fillId="3" borderId="0" xfId="54" applyFont="1" applyFill="1" applyAlignment="1">
      <alignment horizontal="right" vertical="center"/>
    </xf>
    <xf numFmtId="164" fontId="26" fillId="3" borderId="9" xfId="54" applyFont="1" applyFill="1" applyBorder="1" applyAlignment="1">
      <alignment horizontal="right" vertical="center"/>
    </xf>
    <xf numFmtId="164" fontId="34" fillId="3" borderId="0" xfId="54" applyFont="1" applyFill="1"/>
    <xf numFmtId="164" fontId="34" fillId="3" borderId="0" xfId="54" applyFont="1" applyFill="1" applyAlignment="1">
      <alignment horizontal="right" vertical="center"/>
    </xf>
    <xf numFmtId="165" fontId="29" fillId="3" borderId="0" xfId="1" applyFont="1" applyFill="1" applyAlignment="1">
      <alignment horizontal="left"/>
    </xf>
    <xf numFmtId="164" fontId="3" fillId="3" borderId="8" xfId="2" applyFont="1" applyFill="1" applyBorder="1"/>
    <xf numFmtId="164" fontId="21" fillId="3" borderId="8" xfId="2" applyFont="1" applyFill="1" applyBorder="1"/>
    <xf numFmtId="165" fontId="2" fillId="3" borderId="0" xfId="0" applyFont="1" applyFill="1" applyBorder="1" applyAlignment="1">
      <alignment horizontal="left" vertical="top"/>
    </xf>
    <xf numFmtId="0" fontId="21" fillId="3" borderId="0" xfId="54" quotePrefix="1" applyNumberFormat="1" applyFont="1" applyFill="1" applyBorder="1" applyAlignment="1">
      <alignment horizontal="center" vertical="center"/>
    </xf>
    <xf numFmtId="49" fontId="21" fillId="3" borderId="0" xfId="2" applyNumberFormat="1" applyFont="1" applyFill="1" applyBorder="1" applyAlignment="1">
      <alignment vertical="center"/>
    </xf>
    <xf numFmtId="164" fontId="4" fillId="3" borderId="0" xfId="54" quotePrefix="1" applyFont="1" applyFill="1" applyAlignment="1">
      <alignment horizontal="center" vertical="center" wrapText="1"/>
    </xf>
    <xf numFmtId="49" fontId="4" fillId="3" borderId="0" xfId="2" quotePrefix="1" applyNumberFormat="1" applyFont="1" applyFill="1" applyBorder="1" applyAlignment="1">
      <alignment horizontal="center" vertical="center"/>
    </xf>
    <xf numFmtId="49" fontId="4" fillId="3" borderId="0" xfId="2" applyNumberFormat="1" applyFont="1" applyFill="1" applyBorder="1" applyAlignment="1">
      <alignment horizontal="center" vertical="center"/>
    </xf>
    <xf numFmtId="164" fontId="3" fillId="3" borderId="1" xfId="2" applyFont="1" applyFill="1" applyBorder="1" applyAlignment="1"/>
    <xf numFmtId="164" fontId="12" fillId="3" borderId="0" xfId="54" applyFont="1" applyFill="1" applyAlignment="1">
      <alignment horizontal="center"/>
    </xf>
    <xf numFmtId="164" fontId="12" fillId="3" borderId="1" xfId="54" applyFont="1" applyFill="1" applyBorder="1" applyAlignment="1">
      <alignment horizontal="center"/>
    </xf>
    <xf numFmtId="165" fontId="36" fillId="0" borderId="0" xfId="28" applyFont="1" applyFill="1"/>
    <xf numFmtId="165" fontId="15" fillId="0" borderId="0" xfId="5" applyFont="1" applyFill="1" applyBorder="1" applyAlignment="1">
      <alignment wrapText="1"/>
    </xf>
    <xf numFmtId="164" fontId="15" fillId="0" borderId="0" xfId="54" applyFont="1" applyFill="1" applyBorder="1"/>
    <xf numFmtId="0" fontId="9" fillId="18" borderId="0" xfId="5" applyNumberFormat="1" applyFont="1" applyFill="1" applyBorder="1" applyAlignment="1">
      <alignment horizontal="center"/>
    </xf>
    <xf numFmtId="0" fontId="15" fillId="0" borderId="0" xfId="5" applyNumberFormat="1" applyFont="1" applyFill="1" applyBorder="1" applyAlignment="1">
      <alignment horizontal="center" vertical="center"/>
    </xf>
    <xf numFmtId="164" fontId="9" fillId="0" borderId="0" xfId="54" applyFont="1" applyFill="1" applyBorder="1" applyAlignment="1">
      <alignment vertical="center"/>
    </xf>
    <xf numFmtId="164" fontId="9" fillId="0" borderId="0" xfId="8" applyFont="1" applyFill="1" applyBorder="1" applyAlignment="1">
      <alignment vertical="center"/>
    </xf>
    <xf numFmtId="165" fontId="14" fillId="0" borderId="0" xfId="5" applyFont="1" applyFill="1" applyBorder="1" applyAlignment="1">
      <alignment vertical="center" wrapText="1"/>
    </xf>
    <xf numFmtId="0" fontId="16" fillId="0" borderId="0" xfId="5" applyNumberFormat="1" applyFont="1" applyFill="1" applyBorder="1" applyAlignment="1">
      <alignment horizontal="center" vertical="center"/>
    </xf>
    <xf numFmtId="0" fontId="15" fillId="18" borderId="0" xfId="5" applyNumberFormat="1" applyFont="1" applyFill="1" applyBorder="1" applyAlignment="1">
      <alignment horizontal="center"/>
    </xf>
    <xf numFmtId="164" fontId="9" fillId="0" borderId="4" xfId="8" applyFont="1" applyFill="1" applyBorder="1"/>
    <xf numFmtId="0" fontId="9" fillId="0" borderId="0" xfId="5" applyNumberFormat="1" applyFont="1" applyFill="1" applyAlignment="1"/>
    <xf numFmtId="164" fontId="37" fillId="0" borderId="0" xfId="54" applyFont="1" applyFill="1"/>
    <xf numFmtId="164" fontId="38" fillId="0" borderId="0" xfId="54" applyFont="1" applyFill="1"/>
    <xf numFmtId="165" fontId="15" fillId="0" borderId="0" xfId="28" applyFont="1" applyFill="1" applyBorder="1"/>
    <xf numFmtId="49" fontId="16" fillId="0" borderId="1" xfId="5" applyNumberFormat="1" applyFont="1" applyFill="1" applyBorder="1" applyAlignment="1"/>
    <xf numFmtId="0" fontId="16" fillId="0" borderId="1" xfId="5" applyNumberFormat="1" applyFont="1" applyFill="1" applyBorder="1" applyAlignment="1"/>
    <xf numFmtId="0" fontId="15" fillId="0" borderId="1" xfId="5" applyNumberFormat="1" applyFont="1" applyFill="1" applyBorder="1" applyAlignment="1">
      <alignment horizontal="center"/>
    </xf>
    <xf numFmtId="164" fontId="15" fillId="0" borderId="1" xfId="8" applyFont="1" applyFill="1" applyBorder="1" applyAlignment="1"/>
    <xf numFmtId="0" fontId="16" fillId="0" borderId="12" xfId="5" applyNumberFormat="1" applyFont="1" applyFill="1" applyBorder="1" applyAlignment="1">
      <alignment horizontal="center"/>
    </xf>
    <xf numFmtId="0" fontId="16" fillId="0" borderId="5" xfId="5" applyNumberFormat="1" applyFont="1" applyFill="1" applyBorder="1" applyAlignment="1">
      <alignment horizontal="center"/>
    </xf>
    <xf numFmtId="164" fontId="15" fillId="0" borderId="2" xfId="8" applyFont="1" applyFill="1" applyBorder="1"/>
    <xf numFmtId="164" fontId="16" fillId="0" borderId="0" xfId="54" applyFont="1" applyFill="1"/>
    <xf numFmtId="0" fontId="16" fillId="0" borderId="13" xfId="5" applyNumberFormat="1" applyFont="1" applyFill="1" applyBorder="1" applyAlignment="1">
      <alignment horizontal="center"/>
    </xf>
    <xf numFmtId="0" fontId="16" fillId="0" borderId="3" xfId="5" applyNumberFormat="1" applyFont="1" applyFill="1" applyBorder="1" applyAlignment="1">
      <alignment horizontal="center"/>
    </xf>
    <xf numFmtId="164" fontId="16" fillId="0" borderId="3" xfId="8" applyFont="1" applyFill="1" applyBorder="1" applyAlignment="1">
      <alignment horizontal="center"/>
    </xf>
    <xf numFmtId="165" fontId="16" fillId="0" borderId="0" xfId="5" applyFont="1" applyFill="1" applyBorder="1" applyAlignment="1">
      <alignment horizontal="center"/>
    </xf>
    <xf numFmtId="164" fontId="15" fillId="0" borderId="0" xfId="8" applyFont="1" applyFill="1" applyBorder="1" applyAlignment="1">
      <alignment horizontal="center"/>
    </xf>
    <xf numFmtId="165" fontId="15" fillId="19" borderId="0" xfId="28" applyFont="1" applyFill="1" applyBorder="1"/>
    <xf numFmtId="164" fontId="15" fillId="19" borderId="0" xfId="8" applyFont="1" applyFill="1" applyBorder="1"/>
    <xf numFmtId="164" fontId="15" fillId="19" borderId="0" xfId="54" applyFont="1" applyFill="1" applyBorder="1"/>
    <xf numFmtId="164" fontId="15" fillId="19" borderId="0" xfId="54" applyFont="1" applyFill="1"/>
    <xf numFmtId="164" fontId="15" fillId="4" borderId="0" xfId="8" applyFont="1" applyFill="1" applyBorder="1"/>
    <xf numFmtId="164" fontId="15" fillId="5" borderId="0" xfId="8" applyFont="1" applyFill="1" applyBorder="1"/>
    <xf numFmtId="164" fontId="15" fillId="5" borderId="0" xfId="54" applyFont="1" applyFill="1" applyBorder="1"/>
    <xf numFmtId="165" fontId="15" fillId="5" borderId="0" xfId="28" applyFont="1" applyFill="1" applyBorder="1"/>
    <xf numFmtId="164" fontId="15" fillId="5" borderId="0" xfId="54" applyFont="1" applyFill="1"/>
    <xf numFmtId="165" fontId="15" fillId="4" borderId="0" xfId="28" applyFont="1" applyFill="1" applyBorder="1"/>
    <xf numFmtId="164" fontId="15" fillId="4" borderId="0" xfId="54" applyFont="1" applyFill="1" applyBorder="1"/>
    <xf numFmtId="164" fontId="15" fillId="4" borderId="0" xfId="54" applyFont="1" applyFill="1"/>
    <xf numFmtId="165" fontId="16" fillId="0" borderId="0" xfId="28" applyFont="1" applyFill="1" applyBorder="1"/>
    <xf numFmtId="164" fontId="16" fillId="0" borderId="0" xfId="54" applyFont="1" applyFill="1" applyBorder="1"/>
    <xf numFmtId="164" fontId="16" fillId="0" borderId="4" xfId="54" applyFont="1" applyFill="1" applyBorder="1"/>
    <xf numFmtId="165" fontId="16" fillId="0" borderId="0" xfId="28" applyFont="1" applyFill="1"/>
    <xf numFmtId="165" fontId="15" fillId="4" borderId="0" xfId="5" applyFont="1" applyFill="1" applyBorder="1" applyAlignment="1">
      <alignment wrapText="1"/>
    </xf>
    <xf numFmtId="164" fontId="15" fillId="0" borderId="0" xfId="8" applyFont="1" applyFill="1"/>
    <xf numFmtId="164" fontId="16" fillId="0" borderId="0" xfId="8" applyFont="1" applyFill="1"/>
    <xf numFmtId="165" fontId="15" fillId="0" borderId="0" xfId="5" applyFont="1" applyFill="1" applyBorder="1" applyAlignment="1">
      <alignment vertical="center" wrapText="1"/>
    </xf>
    <xf numFmtId="165" fontId="16" fillId="0" borderId="0" xfId="5" applyFont="1" applyFill="1" applyBorder="1" applyAlignment="1">
      <alignment vertical="center" wrapText="1"/>
    </xf>
    <xf numFmtId="165" fontId="15" fillId="0" borderId="0" xfId="28" applyFont="1" applyFill="1" applyBorder="1" applyAlignment="1">
      <alignment vertical="top" wrapText="1"/>
    </xf>
    <xf numFmtId="165" fontId="15" fillId="0" borderId="0" xfId="28" applyFont="1" applyFill="1" applyBorder="1" applyAlignment="1">
      <alignment wrapText="1"/>
    </xf>
    <xf numFmtId="165" fontId="15" fillId="0" borderId="0" xfId="5" applyFont="1" applyFill="1" applyAlignment="1">
      <alignment wrapText="1"/>
    </xf>
    <xf numFmtId="165" fontId="15" fillId="0" borderId="0" xfId="5" applyFont="1" applyFill="1"/>
    <xf numFmtId="0" fontId="16" fillId="0" borderId="0" xfId="5" applyNumberFormat="1" applyFont="1" applyFill="1"/>
    <xf numFmtId="0" fontId="15" fillId="0" borderId="0" xfId="5" applyNumberFormat="1" applyFont="1" applyFill="1"/>
    <xf numFmtId="0" fontId="15" fillId="0" borderId="0" xfId="5" applyNumberFormat="1" applyFont="1" applyFill="1" applyAlignment="1"/>
    <xf numFmtId="164" fontId="16" fillId="0" borderId="0" xfId="5" applyNumberFormat="1" applyFont="1" applyFill="1" applyBorder="1" applyAlignment="1"/>
    <xf numFmtId="165" fontId="16" fillId="0" borderId="0" xfId="5" applyFont="1" applyFill="1"/>
    <xf numFmtId="0" fontId="15" fillId="0" borderId="0" xfId="5" applyNumberFormat="1" applyFont="1" applyFill="1" applyAlignment="1">
      <alignment horizontal="center"/>
    </xf>
    <xf numFmtId="164" fontId="16" fillId="0" borderId="0" xfId="54" applyFont="1" applyFill="1" applyBorder="1" applyAlignment="1">
      <alignment horizontal="center"/>
    </xf>
    <xf numFmtId="0" fontId="15" fillId="0" borderId="0" xfId="2" applyNumberFormat="1" applyFont="1" applyFill="1" applyBorder="1" applyAlignment="1">
      <alignment horizontal="center"/>
    </xf>
    <xf numFmtId="164" fontId="15" fillId="0" borderId="0" xfId="54" applyFont="1" applyFill="1" applyBorder="1" applyAlignment="1">
      <alignment horizontal="center"/>
    </xf>
    <xf numFmtId="43" fontId="12" fillId="3" borderId="0" xfId="1" applyNumberFormat="1" applyFont="1" applyFill="1" applyAlignment="1">
      <alignment horizontal="center"/>
    </xf>
    <xf numFmtId="43" fontId="12" fillId="3" borderId="1" xfId="1" applyNumberFormat="1" applyFont="1" applyFill="1" applyBorder="1" applyAlignment="1">
      <alignment horizontal="center"/>
    </xf>
    <xf numFmtId="43" fontId="21" fillId="3" borderId="0" xfId="1" applyNumberFormat="1" applyFont="1" applyFill="1" applyAlignment="1">
      <alignment horizontal="center"/>
    </xf>
    <xf numFmtId="164" fontId="25" fillId="3" borderId="1" xfId="2" applyFont="1" applyFill="1" applyBorder="1" applyAlignment="1"/>
    <xf numFmtId="164" fontId="21" fillId="3" borderId="0" xfId="54" applyFont="1" applyFill="1" applyAlignment="1">
      <alignment horizontal="center"/>
    </xf>
    <xf numFmtId="165" fontId="9" fillId="18" borderId="0" xfId="5" applyFont="1" applyFill="1" applyBorder="1"/>
    <xf numFmtId="164" fontId="9" fillId="0" borderId="0" xfId="54" applyNumberFormat="1" applyFont="1" applyFill="1" applyBorder="1" applyAlignment="1"/>
    <xf numFmtId="164" fontId="14" fillId="0" borderId="2" xfId="54" applyNumberFormat="1" applyFont="1" applyFill="1" applyBorder="1"/>
    <xf numFmtId="164" fontId="14" fillId="0" borderId="3" xfId="54" applyNumberFormat="1" applyFont="1" applyFill="1" applyBorder="1" applyAlignment="1">
      <alignment horizontal="center"/>
    </xf>
    <xf numFmtId="164" fontId="14" fillId="0" borderId="0" xfId="54" applyNumberFormat="1" applyFont="1" applyFill="1" applyBorder="1" applyAlignment="1">
      <alignment horizontal="center"/>
    </xf>
    <xf numFmtId="164" fontId="9" fillId="0" borderId="0" xfId="54" applyNumberFormat="1" applyFont="1" applyFill="1" applyBorder="1"/>
    <xf numFmtId="164" fontId="14" fillId="0" borderId="0" xfId="54" applyNumberFormat="1" applyFont="1" applyFill="1" applyBorder="1"/>
    <xf numFmtId="164" fontId="33" fillId="0" borderId="0" xfId="54" applyNumberFormat="1" applyFont="1" applyFill="1" applyBorder="1"/>
    <xf numFmtId="164" fontId="9" fillId="0" borderId="0" xfId="54" applyNumberFormat="1" applyFont="1" applyFill="1"/>
    <xf numFmtId="164" fontId="9" fillId="0" borderId="0" xfId="54" applyNumberFormat="1" applyFont="1" applyFill="1" applyBorder="1" applyAlignment="1">
      <alignment horizontal="center"/>
    </xf>
    <xf numFmtId="164" fontId="14" fillId="0" borderId="0" xfId="8" applyNumberFormat="1" applyFont="1" applyFill="1"/>
    <xf numFmtId="164" fontId="14" fillId="0" borderId="0" xfId="54" applyFont="1" applyFill="1" applyBorder="1" applyAlignment="1">
      <alignment horizontal="center"/>
    </xf>
    <xf numFmtId="165" fontId="9" fillId="0" borderId="0" xfId="5" applyFont="1" applyFill="1" applyBorder="1" applyAlignment="1">
      <alignment horizontal="center"/>
    </xf>
    <xf numFmtId="165" fontId="14" fillId="0" borderId="0" xfId="5" applyFont="1" applyFill="1" applyBorder="1" applyAlignment="1">
      <alignment horizontal="center"/>
    </xf>
    <xf numFmtId="49" fontId="14" fillId="0" borderId="0" xfId="5" applyNumberFormat="1" applyFont="1" applyFill="1" applyBorder="1" applyAlignment="1">
      <alignment horizontal="center"/>
    </xf>
    <xf numFmtId="165" fontId="9" fillId="0" borderId="0" xfId="5" applyNumberFormat="1" applyFont="1" applyFill="1" applyBorder="1" applyAlignment="1">
      <alignment horizontal="center"/>
    </xf>
    <xf numFmtId="164" fontId="14" fillId="0" borderId="0" xfId="54" applyFont="1" applyFill="1" applyBorder="1" applyAlignment="1">
      <alignment horizontal="center"/>
    </xf>
    <xf numFmtId="165" fontId="9" fillId="0" borderId="0" xfId="0" applyFont="1" applyFill="1" applyAlignment="1">
      <alignment vertical="center" wrapText="1"/>
    </xf>
    <xf numFmtId="165" fontId="9" fillId="0" borderId="0" xfId="0" applyFont="1" applyFill="1" applyAlignment="1">
      <alignment horizontal="center" vertical="center"/>
    </xf>
    <xf numFmtId="165" fontId="9" fillId="4" borderId="0" xfId="5" applyFont="1" applyFill="1" applyBorder="1" applyAlignment="1">
      <alignment wrapText="1"/>
    </xf>
    <xf numFmtId="164" fontId="9" fillId="4" borderId="0" xfId="54" applyFont="1" applyFill="1" applyBorder="1" applyAlignment="1"/>
    <xf numFmtId="164" fontId="9" fillId="4" borderId="0" xfId="54" applyFont="1" applyFill="1" applyBorder="1"/>
    <xf numFmtId="164" fontId="9" fillId="4" borderId="0" xfId="8" applyFont="1" applyFill="1" applyBorder="1"/>
    <xf numFmtId="165" fontId="39" fillId="0" borderId="0" xfId="28" applyFont="1"/>
    <xf numFmtId="166" fontId="12" fillId="3" borderId="0" xfId="1" applyNumberFormat="1" applyFont="1" applyFill="1" applyBorder="1" applyAlignment="1">
      <alignment horizontal="center"/>
    </xf>
    <xf numFmtId="166" fontId="21" fillId="3" borderId="0" xfId="1" applyNumberFormat="1" applyFont="1" applyFill="1" applyBorder="1" applyAlignment="1">
      <alignment horizontal="center"/>
    </xf>
    <xf numFmtId="165" fontId="21" fillId="3" borderId="0" xfId="1" applyFont="1" applyFill="1" applyBorder="1" applyAlignment="1">
      <alignment horizontal="right"/>
    </xf>
    <xf numFmtId="166" fontId="21" fillId="3" borderId="0" xfId="1" applyNumberFormat="1" applyFont="1" applyFill="1" applyAlignment="1">
      <alignment horizontal="centerContinuous"/>
    </xf>
    <xf numFmtId="0" fontId="21" fillId="3" borderId="0" xfId="1" applyNumberFormat="1" applyFont="1" applyFill="1" applyAlignment="1">
      <alignment horizontal="centerContinuous"/>
    </xf>
    <xf numFmtId="166" fontId="24" fillId="3" borderId="0" xfId="1" applyNumberFormat="1" applyFont="1" applyFill="1" applyAlignment="1">
      <alignment horizontal="centerContinuous"/>
    </xf>
    <xf numFmtId="0" fontId="24" fillId="3" borderId="0" xfId="1" applyNumberFormat="1" applyFont="1" applyFill="1" applyAlignment="1">
      <alignment horizontal="centerContinuous"/>
    </xf>
    <xf numFmtId="166" fontId="25" fillId="3" borderId="0" xfId="1" applyNumberFormat="1" applyFont="1" applyFill="1" applyAlignment="1">
      <alignment horizontal="center"/>
    </xf>
    <xf numFmtId="0" fontId="24" fillId="3" borderId="0" xfId="1" quotePrefix="1" applyNumberFormat="1" applyFont="1" applyFill="1" applyAlignment="1">
      <alignment horizontal="center"/>
    </xf>
    <xf numFmtId="165" fontId="25" fillId="3" borderId="0" xfId="1" applyFont="1" applyFill="1" applyAlignment="1">
      <alignment horizontal="right"/>
    </xf>
    <xf numFmtId="166" fontId="25" fillId="3" borderId="0" xfId="1" applyNumberFormat="1" applyFont="1" applyFill="1" applyBorder="1" applyAlignment="1">
      <alignment horizontal="center"/>
    </xf>
    <xf numFmtId="0" fontId="24" fillId="3" borderId="0" xfId="1" applyNumberFormat="1" applyFont="1" applyFill="1" applyAlignment="1">
      <alignment horizontal="center"/>
    </xf>
    <xf numFmtId="165" fontId="25" fillId="3" borderId="0" xfId="1" applyFont="1" applyFill="1" applyBorder="1" applyAlignment="1">
      <alignment horizontal="right"/>
    </xf>
    <xf numFmtId="0" fontId="24" fillId="3" borderId="0" xfId="2" applyNumberFormat="1" applyFont="1" applyFill="1" applyBorder="1"/>
    <xf numFmtId="0" fontId="24" fillId="3" borderId="0" xfId="2" quotePrefix="1" applyNumberFormat="1" applyFont="1" applyFill="1" applyBorder="1" applyAlignment="1">
      <alignment horizontal="center"/>
    </xf>
    <xf numFmtId="166" fontId="24" fillId="3" borderId="0" xfId="1" applyNumberFormat="1" applyFont="1" applyFill="1" applyBorder="1" applyAlignment="1">
      <alignment horizontal="center"/>
    </xf>
    <xf numFmtId="166" fontId="26" fillId="3" borderId="0" xfId="1" applyNumberFormat="1" applyFont="1" applyFill="1" applyBorder="1"/>
    <xf numFmtId="165" fontId="22" fillId="3" borderId="0" xfId="28" applyFont="1" applyFill="1"/>
    <xf numFmtId="166" fontId="12" fillId="3" borderId="0" xfId="3" applyNumberFormat="1" applyFont="1" applyFill="1" applyBorder="1" applyAlignment="1">
      <alignment horizontal="right"/>
    </xf>
    <xf numFmtId="0" fontId="21" fillId="3" borderId="0" xfId="2" applyNumberFormat="1" applyFont="1" applyFill="1"/>
    <xf numFmtId="166" fontId="21" fillId="3" borderId="0" xfId="3" applyNumberFormat="1" applyFont="1" applyFill="1" applyBorder="1" applyAlignment="1">
      <alignment horizontal="right"/>
    </xf>
    <xf numFmtId="0" fontId="21" fillId="3" borderId="0" xfId="8" applyNumberFormat="1" applyFont="1" applyFill="1" applyBorder="1" applyAlignment="1">
      <alignment horizontal="center"/>
    </xf>
    <xf numFmtId="165" fontId="28" fillId="3" borderId="0" xfId="28" applyFont="1" applyFill="1"/>
    <xf numFmtId="166" fontId="12" fillId="3" borderId="0" xfId="3" applyNumberFormat="1" applyFont="1" applyFill="1" applyBorder="1" applyAlignment="1">
      <alignment horizontal="center"/>
    </xf>
    <xf numFmtId="0" fontId="27" fillId="3" borderId="0" xfId="1" applyNumberFormat="1" applyFont="1" applyFill="1"/>
    <xf numFmtId="0" fontId="24" fillId="3" borderId="0" xfId="1" applyNumberFormat="1" applyFont="1" applyFill="1" applyBorder="1" applyAlignment="1">
      <alignment horizontal="center"/>
    </xf>
    <xf numFmtId="0" fontId="40" fillId="3" borderId="0" xfId="1" applyNumberFormat="1" applyFont="1" applyFill="1" applyBorder="1" applyAlignment="1">
      <alignment horizontal="center"/>
    </xf>
    <xf numFmtId="164" fontId="12" fillId="3" borderId="0" xfId="2" applyFont="1" applyFill="1" applyBorder="1" applyAlignment="1">
      <alignment horizontal="center"/>
    </xf>
    <xf numFmtId="49" fontId="12" fillId="3" borderId="0" xfId="2" applyNumberFormat="1" applyFont="1" applyFill="1" applyBorder="1" applyAlignment="1">
      <alignment horizontal="center"/>
    </xf>
    <xf numFmtId="49" fontId="21" fillId="3" borderId="0" xfId="2" quotePrefix="1" applyNumberFormat="1" applyFont="1" applyFill="1" applyBorder="1" applyAlignment="1">
      <alignment horizontal="center"/>
    </xf>
    <xf numFmtId="0" fontId="25" fillId="3" borderId="0" xfId="1" applyNumberFormat="1" applyFont="1" applyFill="1" applyAlignment="1">
      <alignment horizontal="center"/>
    </xf>
    <xf numFmtId="0" fontId="41" fillId="3" borderId="0" xfId="1" applyNumberFormat="1" applyFont="1" applyFill="1" applyAlignment="1">
      <alignment horizontal="center"/>
    </xf>
    <xf numFmtId="164" fontId="12" fillId="3" borderId="1" xfId="2" applyFont="1" applyFill="1" applyBorder="1"/>
    <xf numFmtId="0" fontId="21" fillId="3" borderId="0" xfId="1" applyNumberFormat="1" applyFont="1" applyFill="1" applyAlignment="1">
      <alignment horizontal="center" vertical="center"/>
    </xf>
    <xf numFmtId="0" fontId="25" fillId="3" borderId="0" xfId="1" applyNumberFormat="1" applyFont="1" applyFill="1" applyAlignment="1">
      <alignment horizontal="center" vertical="center"/>
    </xf>
    <xf numFmtId="0" fontId="41" fillId="3" borderId="0" xfId="1" applyNumberFormat="1" applyFont="1" applyFill="1" applyAlignment="1">
      <alignment horizontal="center" vertical="center"/>
    </xf>
    <xf numFmtId="164" fontId="21" fillId="3" borderId="0" xfId="2" applyFont="1" applyFill="1"/>
    <xf numFmtId="0" fontId="25" fillId="3" borderId="0" xfId="5" applyNumberFormat="1" applyFont="1" applyFill="1" applyBorder="1" applyAlignment="1">
      <alignment horizontal="center"/>
    </xf>
    <xf numFmtId="0" fontId="25" fillId="3" borderId="0" xfId="1" applyNumberFormat="1" applyFont="1" applyFill="1" applyBorder="1" applyAlignment="1">
      <alignment horizontal="center"/>
    </xf>
    <xf numFmtId="0" fontId="41" fillId="3" borderId="0" xfId="1" applyNumberFormat="1" applyFont="1" applyFill="1" applyBorder="1" applyAlignment="1">
      <alignment horizontal="center"/>
    </xf>
    <xf numFmtId="164" fontId="12" fillId="3" borderId="7" xfId="2" applyFont="1" applyFill="1" applyBorder="1"/>
    <xf numFmtId="164" fontId="12" fillId="3" borderId="8" xfId="2" applyFont="1" applyFill="1" applyBorder="1"/>
    <xf numFmtId="165" fontId="25" fillId="3" borderId="0" xfId="1" applyFont="1" applyFill="1" applyAlignment="1"/>
    <xf numFmtId="0" fontId="40" fillId="3" borderId="0" xfId="1" applyNumberFormat="1" applyFont="1" applyFill="1" applyAlignment="1">
      <alignment horizontal="center"/>
    </xf>
    <xf numFmtId="164" fontId="21" fillId="3" borderId="6" xfId="2" applyFont="1" applyFill="1" applyBorder="1"/>
    <xf numFmtId="164" fontId="25" fillId="3" borderId="0" xfId="2" applyFont="1" applyFill="1" applyBorder="1"/>
    <xf numFmtId="164" fontId="24" fillId="3" borderId="0" xfId="2" applyFont="1" applyFill="1" applyBorder="1"/>
    <xf numFmtId="164" fontId="21" fillId="3" borderId="0" xfId="8" applyFont="1" applyFill="1" applyBorder="1" applyAlignment="1">
      <alignment horizontal="center"/>
    </xf>
    <xf numFmtId="164" fontId="12" fillId="3" borderId="0" xfId="8" applyFont="1" applyFill="1" applyBorder="1" applyAlignment="1">
      <alignment horizontal="center"/>
    </xf>
    <xf numFmtId="0" fontId="9" fillId="16" borderId="0" xfId="5" applyNumberFormat="1" applyFont="1" applyFill="1" applyBorder="1" applyAlignment="1">
      <alignment horizontal="center"/>
    </xf>
    <xf numFmtId="165" fontId="9" fillId="17" borderId="0" xfId="5" applyFont="1" applyFill="1" applyBorder="1"/>
    <xf numFmtId="0" fontId="15" fillId="17" borderId="0" xfId="5" applyNumberFormat="1" applyFont="1" applyFill="1" applyBorder="1" applyAlignment="1">
      <alignment horizontal="center"/>
    </xf>
    <xf numFmtId="164" fontId="14" fillId="0" borderId="2" xfId="8" applyNumberFormat="1" applyFont="1" applyFill="1" applyBorder="1"/>
    <xf numFmtId="164" fontId="14" fillId="0" borderId="3" xfId="8" applyNumberFormat="1" applyFont="1" applyFill="1" applyBorder="1" applyAlignment="1">
      <alignment horizontal="center"/>
    </xf>
    <xf numFmtId="164" fontId="14" fillId="0" borderId="0" xfId="8" applyNumberFormat="1" applyFont="1" applyFill="1" applyBorder="1" applyAlignment="1">
      <alignment horizontal="center"/>
    </xf>
    <xf numFmtId="164" fontId="9" fillId="0" borderId="0" xfId="8" applyNumberFormat="1" applyFont="1" applyFill="1" applyBorder="1"/>
    <xf numFmtId="164" fontId="14" fillId="0" borderId="4" xfId="8" applyNumberFormat="1" applyFont="1" applyFill="1" applyBorder="1"/>
    <xf numFmtId="164" fontId="9" fillId="0" borderId="0" xfId="8" applyNumberFormat="1" applyFont="1" applyFill="1"/>
    <xf numFmtId="164" fontId="9" fillId="0" borderId="0" xfId="8" applyNumberFormat="1" applyFont="1" applyFill="1" applyBorder="1" applyAlignment="1">
      <alignment horizontal="center"/>
    </xf>
    <xf numFmtId="165" fontId="14" fillId="0" borderId="0" xfId="5" applyFont="1" applyFill="1"/>
    <xf numFmtId="164" fontId="42" fillId="3" borderId="0" xfId="54" applyFont="1" applyFill="1" applyAlignment="1">
      <alignment horizontal="center" vertical="center" wrapText="1"/>
    </xf>
    <xf numFmtId="164" fontId="26" fillId="3" borderId="1" xfId="54" applyFont="1" applyFill="1" applyBorder="1"/>
    <xf numFmtId="164" fontId="27" fillId="3" borderId="1" xfId="54" applyFont="1" applyFill="1" applyBorder="1"/>
    <xf numFmtId="164" fontId="26" fillId="3" borderId="7" xfId="54" applyFont="1" applyFill="1" applyBorder="1"/>
    <xf numFmtId="164" fontId="27" fillId="3" borderId="7" xfId="54" applyFont="1" applyFill="1" applyBorder="1"/>
    <xf numFmtId="0" fontId="43" fillId="3" borderId="0" xfId="2" applyNumberFormat="1" applyFont="1" applyFill="1"/>
    <xf numFmtId="0" fontId="43" fillId="3" borderId="0" xfId="2" applyNumberFormat="1" applyFont="1" applyFill="1" applyBorder="1"/>
    <xf numFmtId="43" fontId="12" fillId="3" borderId="0" xfId="1" applyNumberFormat="1" applyFont="1" applyFill="1" applyBorder="1" applyAlignment="1">
      <alignment horizontal="center"/>
    </xf>
    <xf numFmtId="165" fontId="32" fillId="3" borderId="0" xfId="0" applyFont="1" applyFill="1" applyBorder="1" applyAlignment="1">
      <alignment horizontal="left" vertical="top"/>
    </xf>
    <xf numFmtId="165" fontId="9" fillId="16" borderId="0" xfId="5" applyFont="1" applyFill="1" applyBorder="1"/>
    <xf numFmtId="0" fontId="15" fillId="16" borderId="0" xfId="5" applyNumberFormat="1" applyFont="1" applyFill="1" applyBorder="1" applyAlignment="1">
      <alignment horizontal="center"/>
    </xf>
    <xf numFmtId="164" fontId="9" fillId="16" borderId="0" xfId="8" applyNumberFormat="1" applyFont="1" applyFill="1" applyBorder="1"/>
    <xf numFmtId="164" fontId="3" fillId="0" borderId="1" xfId="2" applyNumberFormat="1" applyFont="1" applyFill="1" applyBorder="1"/>
    <xf numFmtId="165" fontId="4" fillId="3" borderId="0" xfId="1" applyFont="1" applyFill="1" applyBorder="1" applyAlignment="1">
      <alignment horizontal="center"/>
    </xf>
    <xf numFmtId="164" fontId="23" fillId="3" borderId="0" xfId="54" applyFont="1" applyFill="1" applyAlignment="1">
      <alignment horizontal="right" vertical="center" wrapText="1"/>
    </xf>
    <xf numFmtId="165" fontId="21" fillId="3" borderId="0" xfId="1" applyFont="1" applyFill="1" applyBorder="1" applyAlignment="1">
      <alignment horizontal="center"/>
    </xf>
    <xf numFmtId="165" fontId="3" fillId="3" borderId="0" xfId="1" applyFont="1" applyFill="1" applyAlignment="1">
      <alignment horizontal="left" wrapText="1"/>
    </xf>
    <xf numFmtId="164" fontId="35" fillId="3" borderId="0" xfId="54" applyFont="1" applyFill="1" applyAlignment="1">
      <alignment vertical="center"/>
    </xf>
    <xf numFmtId="164" fontId="29" fillId="3" borderId="1" xfId="2" applyFont="1" applyFill="1" applyBorder="1"/>
    <xf numFmtId="166" fontId="44" fillId="3" borderId="0" xfId="1" applyNumberFormat="1" applyFont="1" applyFill="1" applyBorder="1" applyAlignment="1">
      <alignment horizontal="center"/>
    </xf>
    <xf numFmtId="166" fontId="43" fillId="3" borderId="0" xfId="1" applyNumberFormat="1" applyFont="1" applyFill="1" applyBorder="1" applyAlignment="1">
      <alignment horizontal="center"/>
    </xf>
    <xf numFmtId="166" fontId="13" fillId="3" borderId="0" xfId="1" applyNumberFormat="1" applyFont="1" applyFill="1" applyBorder="1" applyAlignment="1">
      <alignment horizontal="centerContinuous"/>
    </xf>
    <xf numFmtId="165" fontId="4" fillId="3" borderId="0" xfId="1" quotePrefix="1" applyFont="1" applyFill="1" applyBorder="1" applyAlignment="1">
      <alignment horizontal="center"/>
    </xf>
    <xf numFmtId="0" fontId="4" fillId="3" borderId="0" xfId="1" quotePrefix="1" applyNumberFormat="1" applyFont="1" applyFill="1" applyAlignment="1">
      <alignment horizontal="center"/>
    </xf>
    <xf numFmtId="165" fontId="32" fillId="3" borderId="0" xfId="0" applyFont="1" applyFill="1" applyBorder="1" applyAlignment="1">
      <alignment horizontal="center"/>
    </xf>
    <xf numFmtId="49" fontId="4" fillId="3" borderId="0" xfId="1" applyNumberFormat="1" applyFont="1" applyFill="1" applyBorder="1" applyAlignment="1">
      <alignment horizontal="center"/>
    </xf>
    <xf numFmtId="165" fontId="4" fillId="0" borderId="0" xfId="28" applyFont="1" applyAlignment="1">
      <alignment horizontal="center"/>
    </xf>
    <xf numFmtId="165" fontId="3" fillId="3" borderId="0" xfId="1" applyFont="1" applyFill="1" applyBorder="1" applyAlignment="1">
      <alignment horizontal="center"/>
    </xf>
    <xf numFmtId="165" fontId="4" fillId="3" borderId="0" xfId="1" applyFont="1" applyFill="1" applyBorder="1" applyAlignment="1">
      <alignment horizontal="center"/>
    </xf>
    <xf numFmtId="165" fontId="3" fillId="3" borderId="0" xfId="1" applyNumberFormat="1" applyFont="1" applyFill="1" applyBorder="1" applyAlignment="1">
      <alignment horizontal="center"/>
    </xf>
    <xf numFmtId="0" fontId="3" fillId="3" borderId="0" xfId="1" applyNumberFormat="1" applyFont="1" applyFill="1" applyBorder="1" applyAlignment="1">
      <alignment horizontal="center"/>
    </xf>
    <xf numFmtId="164" fontId="23" fillId="3" borderId="0" xfId="54" applyFont="1" applyFill="1" applyAlignment="1">
      <alignment horizontal="right" vertical="center" wrapText="1"/>
    </xf>
    <xf numFmtId="165" fontId="12" fillId="3" borderId="0" xfId="1" applyFont="1" applyFill="1" applyBorder="1" applyAlignment="1">
      <alignment horizontal="center"/>
    </xf>
    <xf numFmtId="165" fontId="21" fillId="3" borderId="0" xfId="1" applyFont="1" applyFill="1" applyBorder="1" applyAlignment="1">
      <alignment horizontal="center"/>
    </xf>
    <xf numFmtId="165" fontId="12" fillId="3" borderId="0" xfId="1" applyNumberFormat="1" applyFont="1" applyFill="1" applyBorder="1" applyAlignment="1">
      <alignment horizontal="center"/>
    </xf>
    <xf numFmtId="0" fontId="12" fillId="3" borderId="0" xfId="1" applyNumberFormat="1" applyFont="1" applyFill="1" applyBorder="1" applyAlignment="1">
      <alignment horizontal="center"/>
    </xf>
    <xf numFmtId="165" fontId="3" fillId="3" borderId="0" xfId="1" applyFont="1" applyFill="1" applyAlignment="1">
      <alignment horizontal="left" wrapText="1"/>
    </xf>
    <xf numFmtId="0" fontId="10" fillId="3" borderId="0" xfId="1" applyNumberFormat="1" applyFont="1" applyFill="1" applyBorder="1" applyAlignment="1">
      <alignment horizontal="center"/>
    </xf>
    <xf numFmtId="165" fontId="10" fillId="3" borderId="0" xfId="1" applyFont="1" applyFill="1" applyBorder="1" applyAlignment="1">
      <alignment horizontal="center"/>
    </xf>
    <xf numFmtId="165" fontId="20" fillId="3" borderId="0" xfId="1" applyFont="1" applyFill="1" applyBorder="1" applyAlignment="1">
      <alignment horizontal="center"/>
    </xf>
    <xf numFmtId="165" fontId="3" fillId="3" borderId="0" xfId="1" applyFont="1" applyFill="1" applyBorder="1" applyAlignment="1">
      <alignment horizontal="center" wrapText="1"/>
    </xf>
    <xf numFmtId="165" fontId="14" fillId="0" borderId="2" xfId="5" applyFont="1" applyFill="1" applyBorder="1" applyAlignment="1">
      <alignment horizontal="center" vertical="center"/>
    </xf>
    <xf numFmtId="165" fontId="9" fillId="0" borderId="3" xfId="5" applyFont="1" applyFill="1" applyBorder="1" applyAlignment="1">
      <alignment horizontal="center" vertical="center"/>
    </xf>
    <xf numFmtId="165" fontId="9" fillId="0" borderId="0" xfId="5" applyFont="1" applyFill="1" applyBorder="1" applyAlignment="1">
      <alignment horizontal="center"/>
    </xf>
    <xf numFmtId="165" fontId="14" fillId="0" borderId="0" xfId="5" applyFont="1" applyFill="1" applyBorder="1" applyAlignment="1">
      <alignment horizontal="center"/>
    </xf>
    <xf numFmtId="49" fontId="14" fillId="0" borderId="0" xfId="5" applyNumberFormat="1" applyFont="1" applyFill="1" applyBorder="1" applyAlignment="1">
      <alignment horizontal="center"/>
    </xf>
    <xf numFmtId="165" fontId="9" fillId="0" borderId="0" xfId="5" applyNumberFormat="1" applyFont="1" applyFill="1" applyBorder="1" applyAlignment="1">
      <alignment horizontal="center"/>
    </xf>
    <xf numFmtId="165" fontId="14" fillId="0" borderId="2" xfId="5" applyFont="1" applyFill="1" applyBorder="1" applyAlignment="1">
      <alignment horizontal="center" vertical="center" wrapText="1"/>
    </xf>
    <xf numFmtId="165" fontId="9" fillId="0" borderId="3" xfId="5" applyFont="1" applyFill="1" applyBorder="1" applyAlignment="1">
      <alignment horizontal="center" vertical="center" wrapText="1"/>
    </xf>
    <xf numFmtId="164" fontId="9" fillId="0" borderId="0" xfId="5" applyNumberFormat="1" applyFont="1" applyFill="1" applyBorder="1" applyAlignment="1">
      <alignment horizontal="center"/>
    </xf>
    <xf numFmtId="164" fontId="14" fillId="0" borderId="0" xfId="5" applyNumberFormat="1" applyFont="1" applyFill="1" applyBorder="1" applyAlignment="1">
      <alignment horizontal="center"/>
    </xf>
    <xf numFmtId="49" fontId="9" fillId="0" borderId="0" xfId="5" applyNumberFormat="1" applyFont="1" applyFill="1" applyBorder="1" applyAlignment="1">
      <alignment horizontal="center"/>
    </xf>
    <xf numFmtId="164" fontId="14" fillId="0" borderId="11" xfId="54" applyFont="1" applyFill="1" applyBorder="1" applyAlignment="1">
      <alignment horizontal="center"/>
    </xf>
    <xf numFmtId="164" fontId="14" fillId="0" borderId="0" xfId="54" applyFont="1" applyFill="1" applyBorder="1" applyAlignment="1">
      <alignment horizontal="center"/>
    </xf>
    <xf numFmtId="165" fontId="16" fillId="0" borderId="2" xfId="5" applyFont="1" applyFill="1" applyBorder="1" applyAlignment="1">
      <alignment horizontal="center" vertical="center"/>
    </xf>
    <xf numFmtId="165" fontId="15" fillId="0" borderId="3" xfId="5" applyFont="1" applyFill="1" applyBorder="1" applyAlignment="1">
      <alignment horizontal="center" vertical="center"/>
    </xf>
    <xf numFmtId="165" fontId="15" fillId="0" borderId="0" xfId="5" applyFont="1" applyFill="1" applyBorder="1" applyAlignment="1">
      <alignment horizontal="center"/>
    </xf>
    <xf numFmtId="165" fontId="16" fillId="0" borderId="0" xfId="5" applyFont="1" applyFill="1" applyBorder="1" applyAlignment="1">
      <alignment horizontal="center"/>
    </xf>
    <xf numFmtId="49" fontId="16" fillId="0" borderId="0" xfId="5" applyNumberFormat="1" applyFont="1" applyFill="1" applyBorder="1" applyAlignment="1">
      <alignment horizontal="center"/>
    </xf>
    <xf numFmtId="49" fontId="15" fillId="0" borderId="0" xfId="5" applyNumberFormat="1" applyFont="1" applyFill="1" applyBorder="1" applyAlignment="1">
      <alignment horizontal="center"/>
    </xf>
    <xf numFmtId="165" fontId="15" fillId="0" borderId="0" xfId="5" applyNumberFormat="1" applyFont="1" applyFill="1" applyBorder="1" applyAlignment="1">
      <alignment horizontal="center"/>
    </xf>
  </cellXfs>
  <cellStyles count="57">
    <cellStyle name="Comma" xfId="54" builtinId="3"/>
    <cellStyle name="Comma 10" xfId="2"/>
    <cellStyle name="Comma 11" xfId="6"/>
    <cellStyle name="Comma 12" xfId="7"/>
    <cellStyle name="Comma 13" xfId="8"/>
    <cellStyle name="Comma 14" xfId="9"/>
    <cellStyle name="Comma 15" xfId="10"/>
    <cellStyle name="Comma 15 2" xfId="11"/>
    <cellStyle name="Comma 16" xfId="12"/>
    <cellStyle name="Comma 17" xfId="13"/>
    <cellStyle name="Comma 17 2" xfId="14"/>
    <cellStyle name="Comma 18" xfId="15"/>
    <cellStyle name="Comma 2" xfId="16"/>
    <cellStyle name="Comma 2 2" xfId="17"/>
    <cellStyle name="Comma 2 3" xfId="18"/>
    <cellStyle name="Comma 3" xfId="19"/>
    <cellStyle name="Comma 3 2" xfId="20"/>
    <cellStyle name="Comma 3 3" xfId="56"/>
    <cellStyle name="Comma 4" xfId="21"/>
    <cellStyle name="Comma 5" xfId="22"/>
    <cellStyle name="Comma 5 2" xfId="23"/>
    <cellStyle name="Comma 6" xfId="24"/>
    <cellStyle name="Comma 7" xfId="25"/>
    <cellStyle name="Comma 8" xfId="26"/>
    <cellStyle name="Comma 9" xfId="27"/>
    <cellStyle name="Normal" xfId="0" builtinId="0"/>
    <cellStyle name="Normal 10" xfId="28"/>
    <cellStyle name="Normal 11" xfId="3"/>
    <cellStyle name="Normal 11_1. FUND 101 Financial Reports 2011" xfId="5"/>
    <cellStyle name="Normal 12" xfId="1"/>
    <cellStyle name="Normal 13" xfId="29"/>
    <cellStyle name="Normal 14" xfId="30"/>
    <cellStyle name="Normal 15" xfId="31"/>
    <cellStyle name="Normal 16" xfId="32"/>
    <cellStyle name="Normal 16 2" xfId="33"/>
    <cellStyle name="Normal 16_GJ - 2011" xfId="34"/>
    <cellStyle name="Normal 17" xfId="35"/>
    <cellStyle name="Normal 17 2" xfId="36"/>
    <cellStyle name="Normal 18" xfId="37"/>
    <cellStyle name="Normal 19" xfId="55"/>
    <cellStyle name="Normal 2" xfId="38"/>
    <cellStyle name="Normal 2 2" xfId="39"/>
    <cellStyle name="Normal 2 3" xfId="40"/>
    <cellStyle name="Normal 2_Transmittal" xfId="41"/>
    <cellStyle name="Normal 3" xfId="42"/>
    <cellStyle name="Normal 3 2" xfId="43"/>
    <cellStyle name="Normal 3_Transmittal 2010" xfId="44"/>
    <cellStyle name="Normal 4" xfId="45"/>
    <cellStyle name="Normal 5" xfId="46"/>
    <cellStyle name="Normal 6" xfId="47"/>
    <cellStyle name="Normal 7" xfId="48"/>
    <cellStyle name="Normal 7 2" xfId="49"/>
    <cellStyle name="Normal 7_1. FUND 101 Financial Reports 2011" xfId="50"/>
    <cellStyle name="Normal 8" xfId="51"/>
    <cellStyle name="Normal 9" xfId="52"/>
    <cellStyle name="Percent 2" xfId="53"/>
    <cellStyle name="Percent 3" xfId="4"/>
  </cellStyles>
  <dxfs count="0"/>
  <tableStyles count="0" defaultTableStyle="TableStyleMedium2" defaultPivotStyle="PivotStyleLight16"/>
  <colors>
    <mruColors>
      <color rgb="FFFFFF99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externalLink" Target="externalLinks/externalLink16.xml"/><Relationship Id="rId21" Type="http://schemas.openxmlformats.org/officeDocument/2006/relationships/externalLink" Target="externalLinks/externalLink11.xml"/><Relationship Id="rId34" Type="http://schemas.openxmlformats.org/officeDocument/2006/relationships/externalLink" Target="externalLinks/externalLink2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32" Type="http://schemas.openxmlformats.org/officeDocument/2006/relationships/externalLink" Target="externalLinks/externalLink2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31" Type="http://schemas.openxmlformats.org/officeDocument/2006/relationships/externalLink" Target="externalLinks/externalLink2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SWD\Desktop\MARS2020\FC-2%20Dec.%202019\Chk%20Dj%204th%20Qtr\Check%20DJ%20DEC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9%20SEPTEMBER%202023/9.1%20SEPTEMBER%202023%20WORKING%20TB%20FC%201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FINANCIAL%20STATEMENTS%202024/RESTATEMENT%20OF%202023%20FINANCIAL%20STATEMENTS/3.1%20RESTATEMENT%20OF%202023%20FS%20&amp;%20TB%20FC%201%201ST%20QUARTER%20OF%202024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2%20FINANCIAL%20REPORTS/RESTATEMENTS%20OF%20FS%202021/4TH%20QUARTER%202022/3.1%20RESTATEMENT%20OF%20FS%20&amp;%20TB%20FUND%20CLUSTER%201%20FOR%204th%20QUARTER%202022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2%20FINANCIAL%20REPORTS/WORKING%20PAPERS%202022/WTB%202022/12%20DECEMBER%202022/12.1%20DECEMBER%202022%20WORKING%20TB%20FC1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Restatement%20FS%202022/1st%20QUARTER%202023/3.1%20RESTATEMENT%20OF%20FS%20&amp;%20TB%20FUND%20CLUSTER%201%20FOR%201stQ%202023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VNG\2021%20FINANCIAL%20REPORTS\Restatements%20of%20FS%202020\4th%20Quarter\Fund%20Cluster%201%20TB%20and%20Comparative%20FS%20as%20of%20December%202020%20as%20Restated%20(CO)%204thQuarter%202021)%20UPDATED%20UACS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11%20NOVEMBER%202023%20FS/001%20FINAL%20NOVEMBER%202023%20FS%20FROM%20USB/RESTATEMENTS%20OF%20FS%202022%20AS%20OF%20NOVEMBER%202023/11.1%20RESTATEMENT%20OF%20FS%20&amp;%20TB%20FC%201%20FOR%204TH%20QUARTER%202023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WTB%20AND%20JEV%202024/WTB%202024/12%20DECEMBER%20WTB%202024/12.1%20DECEMBER%202024%20WORKING%20TB%20FC%201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3March%202023/3.1%20March%202023%20WORKING%20TB%20FC1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FINANCIAL%20STATEMENTS%202024/3%20MARCH%202024%20FS/BREAKDOWN%20OF%20ACCUMULATED%20SURPLUS%20DEFICIT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FINANCIAL%20STATEMENTS%202024/12%20DECEMBER%202024%20FS/BREAKDOWN%20OF%20ACCUMULATED%20SURPLUS%20DEFICIT%202024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FINANCIAL%20STATEMENTS%202024/11%20NOVEMBER%202024%20FS/BREAKDOWN%20OF%20ACCUMULATED%20SURPLUS%20DEFICIT%202024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re\Desktop\Ariahz%20FS\REVISED\NEW%20WORKBOOK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6%20JUNE%202023%20FS/OTHER%20QUARTERLY%20REPORTS/BOAS-%202ND%20QUARTER%202023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FROM%20CENTRAL%20OFFICE%20DATA%202024/Pre-TB%20as%20of%20123123-%20FO%20X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6%20JUNE%202023/FOR%20RESTATEMENT%20FC%201%20POST%20TB%20ONL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2%20FINANCIAL%20REPORTS/WORKING%20PAPERS%202022/WTB%202022/1%20JANUARY%202022/1.1%20JANUARY%202022%20WORKING%20TB%20FC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2%20FINANCIAL%20REPORTS/WORKING%20PAPERS%202022/WTB%202022/2%20FEBRUARY%202022/2.1%20FEBRUARY%202022%20WORKING%20TB%20FC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2%20FINANCIAL%20REPORTS/WORKING%20PAPERS%202022/WTB%202022/3%20MARCH%202022/3.1%20MARCH%202022%20WORKING%20TB%20FC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4%20APRIL%202023/4.1%20APRIL%202023%20WORKING%20TB%20FC%20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5%20MAY%202023/5.1%20MAY%202023%20WORKING%20TB%20FC%201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7%20JULY%202023/7.1%20JULY%202023%20WORKING%20TB%20FC%201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8%20AUGUST%202023/8.1%20AUGUST%202023%20WORKING%20TB%20FC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BASE.DISB GOP"/>
      <sheetName val="DBASE.DISB WB"/>
      <sheetName val="Reference"/>
      <sheetName val="CDJ Aug.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2">
          <cell r="V122">
            <v>188271016.53999996</v>
          </cell>
          <cell r="W122">
            <v>9488.57</v>
          </cell>
        </row>
      </sheetData>
      <sheetData sheetId="2"/>
      <sheetData sheetId="3"/>
      <sheetData sheetId="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Sheet2"/>
      <sheetName val="FC1CIS"/>
      <sheetName val="tb control"/>
      <sheetName val="FC1-Pre TB"/>
      <sheetName val="FC1-Pre TB (2)"/>
      <sheetName val="FC1-Post TB "/>
      <sheetName val="FC1 post tb-June"/>
      <sheetName val="FO X June 2016"/>
    </sheetNames>
    <sheetDataSet>
      <sheetData sheetId="0">
        <row r="15">
          <cell r="L15">
            <v>232601054.49999791</v>
          </cell>
        </row>
        <row r="22">
          <cell r="J22">
            <v>1316230465.0871236</v>
          </cell>
        </row>
      </sheetData>
      <sheetData sheetId="1"/>
      <sheetData sheetId="2"/>
      <sheetData sheetId="3"/>
      <sheetData sheetId="4"/>
      <sheetData sheetId="5"/>
      <sheetData sheetId="6">
        <row r="5">
          <cell r="A5" t="str">
            <v>As at December 31, 2023</v>
          </cell>
          <cell r="B5"/>
          <cell r="C5"/>
          <cell r="D5"/>
          <cell r="E5"/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Sheet2"/>
      <sheetName val="FC1CIS"/>
      <sheetName val="tb control"/>
      <sheetName val="BOAS"/>
      <sheetName val="FC1"/>
      <sheetName val="FC1-Pre TB"/>
      <sheetName val="FC1-Pre TB (2)"/>
      <sheetName val="FC1-Post TB "/>
      <sheetName val="FC1 post tb-June"/>
      <sheetName val="FO X June 2016"/>
    </sheetNames>
    <sheetDataSet>
      <sheetData sheetId="0">
        <row r="20">
          <cell r="L20">
            <v>1157143696.3299987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0">
          <cell r="AC120">
            <v>1632911107.6799994</v>
          </cell>
        </row>
      </sheetData>
      <sheetData sheetId="2"/>
      <sheetData sheetId="3"/>
      <sheetData sheetId="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Sheet2"/>
      <sheetName val="FC1CIS"/>
      <sheetName val="tb control"/>
      <sheetName val="FC1-Pre TB"/>
      <sheetName val="FC1-Pre TB (2)"/>
      <sheetName val="FC1-Post TB "/>
      <sheetName val="FC1 post tb-June"/>
      <sheetName val="FO X June 2016"/>
    </sheetNames>
    <sheetDataSet>
      <sheetData sheetId="0">
        <row r="12">
          <cell r="L12">
            <v>1889305049.4399984</v>
          </cell>
        </row>
        <row r="22">
          <cell r="L22">
            <v>1207182593.369998</v>
          </cell>
        </row>
      </sheetData>
      <sheetData sheetId="1">
        <row r="93">
          <cell r="K93">
            <v>1694035405.3099999</v>
          </cell>
        </row>
        <row r="164">
          <cell r="K164">
            <v>602316.81000000006</v>
          </cell>
        </row>
        <row r="175">
          <cell r="K175">
            <v>193612430.37</v>
          </cell>
        </row>
        <row r="177">
          <cell r="K177">
            <v>1887647835.6799998</v>
          </cell>
        </row>
        <row r="214">
          <cell r="K214">
            <v>6867805.2800000003</v>
          </cell>
        </row>
        <row r="220">
          <cell r="K220">
            <v>1207182593.3699999</v>
          </cell>
        </row>
        <row r="228">
          <cell r="K228">
            <v>1207182593.3699999</v>
          </cell>
        </row>
      </sheetData>
      <sheetData sheetId="2"/>
      <sheetData sheetId="3">
        <row r="163">
          <cell r="J163">
            <v>6044261.9800000004</v>
          </cell>
        </row>
        <row r="166">
          <cell r="J166">
            <v>271276.93</v>
          </cell>
        </row>
        <row r="188">
          <cell r="J188">
            <v>429473671.28999996</v>
          </cell>
        </row>
        <row r="192">
          <cell r="J192">
            <v>0</v>
          </cell>
        </row>
        <row r="213">
          <cell r="J213">
            <v>12922443.93</v>
          </cell>
        </row>
        <row r="220">
          <cell r="J220">
            <v>1037264493.27</v>
          </cell>
        </row>
        <row r="222">
          <cell r="J222">
            <v>-1031021154.8099999</v>
          </cell>
        </row>
        <row r="229">
          <cell r="J229">
            <v>5583584334.1899996</v>
          </cell>
        </row>
        <row r="237">
          <cell r="J237">
            <v>4201437902.3800001</v>
          </cell>
        </row>
        <row r="239">
          <cell r="J239">
            <v>1382146431.8099995</v>
          </cell>
        </row>
      </sheetData>
      <sheetData sheetId="4"/>
      <sheetData sheetId="5"/>
      <sheetData sheetId="6">
        <row r="10">
          <cell r="C10">
            <v>1010101000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 2020"/>
      <sheetName val="FC1-Post TB 2020"/>
      <sheetName val="FC1 post tb-June"/>
      <sheetName val="FO X June 2016"/>
    </sheetNames>
    <sheetDataSet>
      <sheetData sheetId="0" refreshError="1"/>
      <sheetData sheetId="1" refreshError="1"/>
      <sheetData sheetId="2" refreshError="1"/>
      <sheetData sheetId="3" refreshError="1">
        <row r="13">
          <cell r="F13">
            <v>4020106000</v>
          </cell>
        </row>
        <row r="184">
          <cell r="H184">
            <v>438853502.73999995</v>
          </cell>
        </row>
        <row r="216">
          <cell r="H216">
            <v>-946420072.90999997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Sheet2"/>
      <sheetName val="FC1CIS"/>
      <sheetName val="tb control"/>
      <sheetName val="FC1-Pre TB"/>
      <sheetName val="FC1-Pre TB (2)"/>
      <sheetName val="FC1-Post TB "/>
      <sheetName val="FC1 post tb-June"/>
      <sheetName val="FO X June 2016"/>
    </sheetNames>
    <sheetDataSet>
      <sheetData sheetId="0"/>
      <sheetData sheetId="1"/>
      <sheetData sheetId="2"/>
      <sheetData sheetId="3">
        <row r="189">
          <cell r="J189">
            <v>1315597102.95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1">
          <cell r="C11">
            <v>1010101000</v>
          </cell>
          <cell r="D11">
            <v>600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39674429.890000001</v>
          </cell>
          <cell r="S11">
            <v>27820351.139999997</v>
          </cell>
          <cell r="T11">
            <v>0</v>
          </cell>
          <cell r="U11">
            <v>0</v>
          </cell>
          <cell r="V11">
            <v>39674429.890000001</v>
          </cell>
          <cell r="W11">
            <v>27820351.139999997</v>
          </cell>
          <cell r="X11">
            <v>39675029.890000001</v>
          </cell>
          <cell r="Y11">
            <v>27820351.139999997</v>
          </cell>
          <cell r="Z11">
            <v>11854678.75</v>
          </cell>
          <cell r="AA11"/>
        </row>
        <row r="12">
          <cell r="C12">
            <v>1990102000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/>
        </row>
        <row r="13">
          <cell r="C13">
            <v>1990103000</v>
          </cell>
          <cell r="D13">
            <v>796925483.01999998</v>
          </cell>
          <cell r="E13">
            <v>0</v>
          </cell>
          <cell r="F13">
            <v>136969116.41000003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5000</v>
          </cell>
          <cell r="O13">
            <v>873917291.52999985</v>
          </cell>
          <cell r="P13">
            <v>0</v>
          </cell>
          <cell r="Q13">
            <v>0</v>
          </cell>
          <cell r="R13">
            <v>0</v>
          </cell>
          <cell r="S13">
            <v>38645307.899999999</v>
          </cell>
          <cell r="T13">
            <v>0</v>
          </cell>
          <cell r="U13">
            <v>0</v>
          </cell>
          <cell r="V13">
            <v>136974116.41000003</v>
          </cell>
          <cell r="W13">
            <v>912562599.42999983</v>
          </cell>
          <cell r="X13">
            <v>933899599.43000007</v>
          </cell>
          <cell r="Y13">
            <v>912562599.42999983</v>
          </cell>
          <cell r="Z13">
            <v>21337000</v>
          </cell>
          <cell r="AA13"/>
        </row>
        <row r="14">
          <cell r="C14">
            <v>1990302000</v>
          </cell>
          <cell r="D14">
            <v>564010.4</v>
          </cell>
          <cell r="E14">
            <v>0</v>
          </cell>
          <cell r="F14">
            <v>0</v>
          </cell>
          <cell r="G14">
            <v>2400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2400</v>
          </cell>
          <cell r="X14">
            <v>564010.4</v>
          </cell>
          <cell r="Y14">
            <v>2400</v>
          </cell>
          <cell r="Z14">
            <v>561610.4</v>
          </cell>
          <cell r="AA14"/>
        </row>
        <row r="15">
          <cell r="C15">
            <v>1010102000</v>
          </cell>
          <cell r="D15">
            <v>811000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60173.34</v>
          </cell>
          <cell r="P15">
            <v>0</v>
          </cell>
          <cell r="Q15">
            <v>0</v>
          </cell>
          <cell r="R15">
            <v>0</v>
          </cell>
          <cell r="S15">
            <v>15826.66</v>
          </cell>
          <cell r="T15">
            <v>0</v>
          </cell>
          <cell r="U15">
            <v>0</v>
          </cell>
          <cell r="V15">
            <v>0</v>
          </cell>
          <cell r="W15">
            <v>76000</v>
          </cell>
          <cell r="X15">
            <v>811000</v>
          </cell>
          <cell r="Y15">
            <v>76000</v>
          </cell>
          <cell r="Z15">
            <v>735000</v>
          </cell>
          <cell r="AA15"/>
        </row>
        <row r="16">
          <cell r="C16">
            <v>1010404000</v>
          </cell>
          <cell r="D16">
            <v>176391563.63</v>
          </cell>
          <cell r="E16">
            <v>0</v>
          </cell>
          <cell r="F16">
            <v>0</v>
          </cell>
          <cell r="G16">
            <v>606208497.73000002</v>
          </cell>
          <cell r="H16">
            <v>0</v>
          </cell>
          <cell r="I16">
            <v>135851099.2899999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565982348.99000013</v>
          </cell>
          <cell r="U16">
            <v>314315.59999999998</v>
          </cell>
          <cell r="V16">
            <v>565982348.99000013</v>
          </cell>
          <cell r="W16">
            <v>742373912.62</v>
          </cell>
          <cell r="X16">
            <v>742373912.62000012</v>
          </cell>
          <cell r="Y16">
            <v>742373912.62</v>
          </cell>
          <cell r="Z16">
            <v>0</v>
          </cell>
          <cell r="AA16"/>
        </row>
        <row r="17">
          <cell r="C17">
            <v>1010202016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/>
        </row>
        <row r="18">
          <cell r="C18">
            <v>1010202024</v>
          </cell>
          <cell r="D18">
            <v>220000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220000</v>
          </cell>
          <cell r="Y18">
            <v>0</v>
          </cell>
          <cell r="Z18">
            <v>220000</v>
          </cell>
          <cell r="AA18"/>
        </row>
        <row r="19">
          <cell r="C19">
            <v>1010202030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/>
        </row>
        <row r="20">
          <cell r="C20">
            <v>1030101000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/>
        </row>
        <row r="21">
          <cell r="C21">
            <v>1030501000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/>
        </row>
        <row r="22">
          <cell r="C22">
            <v>1039902000</v>
          </cell>
          <cell r="D22">
            <v>12437.02</v>
          </cell>
          <cell r="E22">
            <v>0</v>
          </cell>
          <cell r="F22">
            <v>61526.13</v>
          </cell>
          <cell r="G22">
            <v>60026.13</v>
          </cell>
          <cell r="H22">
            <v>0</v>
          </cell>
          <cell r="I22">
            <v>12437.02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61526.13</v>
          </cell>
          <cell r="W22">
            <v>72463.149999999994</v>
          </cell>
          <cell r="X22">
            <v>73963.149999999994</v>
          </cell>
          <cell r="Y22">
            <v>72463.149999999994</v>
          </cell>
          <cell r="Z22">
            <v>1500</v>
          </cell>
          <cell r="AA22"/>
        </row>
        <row r="23">
          <cell r="C23">
            <v>1030199000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/>
        </row>
        <row r="24">
          <cell r="C24">
            <v>1010401000</v>
          </cell>
          <cell r="D24">
            <v>144295624.80000001</v>
          </cell>
          <cell r="E24">
            <v>0</v>
          </cell>
          <cell r="F24">
            <v>244140</v>
          </cell>
          <cell r="G24">
            <v>0</v>
          </cell>
          <cell r="H24">
            <v>12437.02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27736661.139999997</v>
          </cell>
          <cell r="S24">
            <v>0</v>
          </cell>
          <cell r="T24">
            <v>3372.12</v>
          </cell>
          <cell r="U24">
            <v>0</v>
          </cell>
          <cell r="V24">
            <v>27996610.279999997</v>
          </cell>
          <cell r="W24">
            <v>0</v>
          </cell>
          <cell r="X24">
            <v>172292235.08000001</v>
          </cell>
          <cell r="Y24">
            <v>0</v>
          </cell>
          <cell r="Z24">
            <v>172292235.08000001</v>
          </cell>
          <cell r="AA24"/>
        </row>
        <row r="25">
          <cell r="C25">
            <v>1010403000</v>
          </cell>
          <cell r="D25">
            <v>11009272.93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83690</v>
          </cell>
          <cell r="S25">
            <v>0</v>
          </cell>
          <cell r="T25">
            <v>0</v>
          </cell>
          <cell r="U25">
            <v>0</v>
          </cell>
          <cell r="V25">
            <v>83690</v>
          </cell>
          <cell r="W25">
            <v>0</v>
          </cell>
          <cell r="X25">
            <v>11092962.93</v>
          </cell>
          <cell r="Y25">
            <v>0</v>
          </cell>
          <cell r="Z25">
            <v>11092962.93</v>
          </cell>
          <cell r="AA25"/>
        </row>
        <row r="26">
          <cell r="C26">
            <v>1010406000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/>
        </row>
        <row r="27">
          <cell r="C27">
            <v>1010407000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19487406.649999999</v>
          </cell>
          <cell r="U27">
            <v>19487406.649999999</v>
          </cell>
          <cell r="V27">
            <v>19487406.649999999</v>
          </cell>
          <cell r="W27">
            <v>19487406.649999999</v>
          </cell>
          <cell r="X27">
            <v>19487406.649999999</v>
          </cell>
          <cell r="Y27">
            <v>19487406.649999999</v>
          </cell>
          <cell r="Z27">
            <v>0</v>
          </cell>
          <cell r="AA27"/>
        </row>
        <row r="28">
          <cell r="C28">
            <v>1010408000</v>
          </cell>
          <cell r="D28">
            <v>406537.79</v>
          </cell>
          <cell r="E28">
            <v>0</v>
          </cell>
          <cell r="F28">
            <v>60026.13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60026.13</v>
          </cell>
          <cell r="W28">
            <v>0</v>
          </cell>
          <cell r="X28">
            <v>466563.92</v>
          </cell>
          <cell r="Y28">
            <v>0</v>
          </cell>
          <cell r="Z28">
            <v>466563.92</v>
          </cell>
          <cell r="AA28"/>
        </row>
        <row r="29">
          <cell r="C29">
            <v>1010409000</v>
          </cell>
          <cell r="D29">
            <v>0</v>
          </cell>
          <cell r="E29">
            <v>846690.61</v>
          </cell>
          <cell r="F29">
            <v>0</v>
          </cell>
          <cell r="G29">
            <v>675411.55</v>
          </cell>
          <cell r="H29">
            <v>0</v>
          </cell>
          <cell r="I29">
            <v>12437.02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687848.57000000007</v>
          </cell>
          <cell r="X29">
            <v>0</v>
          </cell>
          <cell r="Y29">
            <v>1534539.1800000002</v>
          </cell>
          <cell r="Z29"/>
          <cell r="AA29">
            <v>1534539.18</v>
          </cell>
        </row>
        <row r="30">
          <cell r="C30">
            <v>1030301000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/>
        </row>
        <row r="31">
          <cell r="C31">
            <v>1030302000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/>
        </row>
        <row r="32">
          <cell r="C32">
            <v>1030303000</v>
          </cell>
          <cell r="D32">
            <v>569639975.11000001</v>
          </cell>
          <cell r="E32">
            <v>0</v>
          </cell>
          <cell r="F32">
            <v>44214376.920000002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220719212.34999999</v>
          </cell>
          <cell r="R32">
            <v>0</v>
          </cell>
          <cell r="S32">
            <v>792992.48</v>
          </cell>
          <cell r="T32">
            <v>0</v>
          </cell>
          <cell r="U32">
            <v>0</v>
          </cell>
          <cell r="V32">
            <v>44214376.920000002</v>
          </cell>
          <cell r="W32">
            <v>221512204.82999998</v>
          </cell>
          <cell r="X32">
            <v>613854352.02999997</v>
          </cell>
          <cell r="Y32">
            <v>221512204.82999998</v>
          </cell>
          <cell r="Z32">
            <v>392342147.19999999</v>
          </cell>
          <cell r="AA32"/>
        </row>
        <row r="33">
          <cell r="C33">
            <v>1039903000</v>
          </cell>
          <cell r="D33">
            <v>28436934.66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28436934.66</v>
          </cell>
          <cell r="Y33">
            <v>0</v>
          </cell>
          <cell r="Z33">
            <v>28436934.66</v>
          </cell>
          <cell r="AA33"/>
        </row>
        <row r="34">
          <cell r="C34">
            <v>1030405000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3372.12</v>
          </cell>
          <cell r="U34">
            <v>3372.12</v>
          </cell>
          <cell r="V34">
            <v>3372.12</v>
          </cell>
          <cell r="W34">
            <v>3372.12</v>
          </cell>
          <cell r="X34">
            <v>3372.12</v>
          </cell>
          <cell r="Y34">
            <v>3372.12</v>
          </cell>
          <cell r="Z34">
            <v>0</v>
          </cell>
          <cell r="AA34"/>
        </row>
        <row r="35">
          <cell r="C35">
            <v>1990104000</v>
          </cell>
          <cell r="D35">
            <v>444849.22</v>
          </cell>
          <cell r="E35">
            <v>0</v>
          </cell>
          <cell r="F35">
            <v>953985.84</v>
          </cell>
          <cell r="G35">
            <v>16276</v>
          </cell>
          <cell r="H35">
            <v>901898.4</v>
          </cell>
          <cell r="I35">
            <v>0</v>
          </cell>
          <cell r="J35">
            <v>0</v>
          </cell>
          <cell r="K35">
            <v>2255621.1100000003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82262.349999999991</v>
          </cell>
          <cell r="T35">
            <v>53426</v>
          </cell>
          <cell r="U35">
            <v>0</v>
          </cell>
          <cell r="V35">
            <v>1909310.24</v>
          </cell>
          <cell r="W35">
            <v>2354159.4600000004</v>
          </cell>
          <cell r="X35">
            <v>2354159.46</v>
          </cell>
          <cell r="Y35">
            <v>2354159.4600000004</v>
          </cell>
          <cell r="Z35">
            <v>0</v>
          </cell>
          <cell r="AA35"/>
        </row>
        <row r="36">
          <cell r="C36">
            <v>1039999000</v>
          </cell>
          <cell r="D36">
            <v>654.38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654.38</v>
          </cell>
          <cell r="V36">
            <v>0</v>
          </cell>
          <cell r="W36">
            <v>654.38</v>
          </cell>
          <cell r="X36">
            <v>654.38</v>
          </cell>
          <cell r="Y36">
            <v>654.38</v>
          </cell>
          <cell r="Z36">
            <v>0</v>
          </cell>
          <cell r="AA36"/>
        </row>
        <row r="37">
          <cell r="C37">
            <v>1040299000</v>
          </cell>
          <cell r="D37">
            <v>108284333.3</v>
          </cell>
          <cell r="E37">
            <v>0</v>
          </cell>
          <cell r="F37">
            <v>104529309.53999999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106558770.55999997</v>
          </cell>
          <cell r="V37">
            <v>104529309.53999999</v>
          </cell>
          <cell r="W37">
            <v>106558770.55999997</v>
          </cell>
          <cell r="X37">
            <v>212813642.83999997</v>
          </cell>
          <cell r="Y37">
            <v>106558770.55999997</v>
          </cell>
          <cell r="Z37">
            <v>106254872.28</v>
          </cell>
          <cell r="AA37"/>
        </row>
        <row r="38">
          <cell r="C38">
            <v>1040202000</v>
          </cell>
          <cell r="D38">
            <v>11697048.18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159844677.75999999</v>
          </cell>
          <cell r="U38">
            <v>80989632.75999999</v>
          </cell>
          <cell r="V38">
            <v>159844677.75999999</v>
          </cell>
          <cell r="W38">
            <v>80989632.75999999</v>
          </cell>
          <cell r="X38">
            <v>171541725.94</v>
          </cell>
          <cell r="Y38">
            <v>80989632.75999999</v>
          </cell>
          <cell r="Z38">
            <v>90552093.180000007</v>
          </cell>
          <cell r="AA38"/>
        </row>
        <row r="39">
          <cell r="C39">
            <v>1040204000</v>
          </cell>
          <cell r="D39">
            <v>79220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79220</v>
          </cell>
          <cell r="Y39">
            <v>0</v>
          </cell>
          <cell r="Z39">
            <v>79220</v>
          </cell>
          <cell r="AA39"/>
        </row>
        <row r="40">
          <cell r="C40">
            <v>1040401000</v>
          </cell>
          <cell r="D40">
            <v>1677227.69</v>
          </cell>
          <cell r="E40">
            <v>0</v>
          </cell>
          <cell r="F40">
            <v>1367162.1700000002</v>
          </cell>
          <cell r="G40">
            <v>1306422.2000000002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2114433.4</v>
          </cell>
          <cell r="U40">
            <v>748988.36</v>
          </cell>
          <cell r="V40">
            <v>3481595.5700000003</v>
          </cell>
          <cell r="W40">
            <v>2055410.56</v>
          </cell>
          <cell r="X40">
            <v>5158823.26</v>
          </cell>
          <cell r="Y40">
            <v>2055410.56</v>
          </cell>
          <cell r="Z40">
            <v>3103412.7</v>
          </cell>
          <cell r="AA40"/>
        </row>
        <row r="41">
          <cell r="C41">
            <v>1040405000</v>
          </cell>
          <cell r="D41">
            <v>8812026.6500000004</v>
          </cell>
          <cell r="E41">
            <v>0</v>
          </cell>
          <cell r="F41">
            <v>1977520.8</v>
          </cell>
          <cell r="G41">
            <v>42480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610993.9</v>
          </cell>
          <cell r="U41">
            <v>1047762.8010049198</v>
          </cell>
          <cell r="V41">
            <v>2588514.7000000002</v>
          </cell>
          <cell r="W41">
            <v>1090242.8010049197</v>
          </cell>
          <cell r="X41">
            <v>11400541.350000001</v>
          </cell>
          <cell r="Y41">
            <v>1090242.8010049197</v>
          </cell>
          <cell r="Z41">
            <v>10310298.550000001</v>
          </cell>
          <cell r="AA41"/>
        </row>
        <row r="42">
          <cell r="C42">
            <v>1040406000</v>
          </cell>
          <cell r="D42">
            <v>396142.49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30766.02</v>
          </cell>
          <cell r="V42">
            <v>0</v>
          </cell>
          <cell r="W42">
            <v>30766.02</v>
          </cell>
          <cell r="X42">
            <v>396142.49</v>
          </cell>
          <cell r="Y42">
            <v>30766.02</v>
          </cell>
          <cell r="Z42">
            <v>365376.47</v>
          </cell>
          <cell r="AA42"/>
        </row>
        <row r="43">
          <cell r="C43">
            <v>1040407000</v>
          </cell>
          <cell r="D43">
            <v>695152.06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7018.9400000000005</v>
          </cell>
          <cell r="V43">
            <v>0</v>
          </cell>
          <cell r="W43">
            <v>7018.9400000000005</v>
          </cell>
          <cell r="X43">
            <v>695152.06</v>
          </cell>
          <cell r="Y43">
            <v>7018.9400000000005</v>
          </cell>
          <cell r="Z43">
            <v>688133.12</v>
          </cell>
          <cell r="AA43"/>
        </row>
        <row r="44">
          <cell r="C44">
            <v>1040408000</v>
          </cell>
          <cell r="D44">
            <v>75000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75000</v>
          </cell>
          <cell r="Y44">
            <v>0</v>
          </cell>
          <cell r="Z44">
            <v>75000</v>
          </cell>
          <cell r="AA44"/>
        </row>
        <row r="45">
          <cell r="C45">
            <v>1040499000</v>
          </cell>
          <cell r="D45">
            <v>2976539.63</v>
          </cell>
          <cell r="E45">
            <v>0</v>
          </cell>
          <cell r="F45">
            <v>830519.4</v>
          </cell>
          <cell r="G45">
            <v>531466.60000000009</v>
          </cell>
          <cell r="H45">
            <v>14786</v>
          </cell>
          <cell r="I45">
            <v>14786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244430.99</v>
          </cell>
          <cell r="U45">
            <v>492925.72899508011</v>
          </cell>
          <cell r="V45">
            <v>1089736.3900000001</v>
          </cell>
          <cell r="W45">
            <v>1039178.3289950802</v>
          </cell>
          <cell r="X45">
            <v>4066276.02</v>
          </cell>
          <cell r="Y45">
            <v>1039178.3289950802</v>
          </cell>
          <cell r="Z45">
            <v>3027097.69</v>
          </cell>
          <cell r="AA45"/>
        </row>
        <row r="46">
          <cell r="C46">
            <v>1040413000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/>
        </row>
        <row r="47">
          <cell r="C47">
            <v>1040501000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/>
        </row>
        <row r="48">
          <cell r="C48">
            <v>1040502000</v>
          </cell>
          <cell r="D48">
            <v>0</v>
          </cell>
          <cell r="E48">
            <v>0</v>
          </cell>
          <cell r="F48">
            <v>845543</v>
          </cell>
          <cell r="G48">
            <v>845543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135898</v>
          </cell>
          <cell r="U48">
            <v>0</v>
          </cell>
          <cell r="V48">
            <v>981441</v>
          </cell>
          <cell r="W48">
            <v>845543</v>
          </cell>
          <cell r="X48">
            <v>981441</v>
          </cell>
          <cell r="Y48">
            <v>845543</v>
          </cell>
          <cell r="Z48">
            <v>135898</v>
          </cell>
          <cell r="AA48"/>
        </row>
        <row r="49">
          <cell r="C49">
            <v>1040503000</v>
          </cell>
          <cell r="D49">
            <v>0</v>
          </cell>
          <cell r="E49">
            <v>0</v>
          </cell>
          <cell r="F49">
            <v>2373530.7999999998</v>
          </cell>
          <cell r="G49">
            <v>2373530.7999999998</v>
          </cell>
          <cell r="H49">
            <v>80795</v>
          </cell>
          <cell r="I49">
            <v>80795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3585333.87</v>
          </cell>
          <cell r="U49">
            <v>39400</v>
          </cell>
          <cell r="V49">
            <v>6039659.6699999999</v>
          </cell>
          <cell r="W49">
            <v>2493725.7999999998</v>
          </cell>
          <cell r="X49">
            <v>6039659.6699999999</v>
          </cell>
          <cell r="Y49">
            <v>2493725.7999999998</v>
          </cell>
          <cell r="Z49">
            <v>3545933.87</v>
          </cell>
          <cell r="AA49"/>
        </row>
        <row r="50">
          <cell r="C50">
            <v>1040510000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3900</v>
          </cell>
          <cell r="U50">
            <v>0</v>
          </cell>
          <cell r="V50">
            <v>3900</v>
          </cell>
          <cell r="W50">
            <v>0</v>
          </cell>
          <cell r="X50">
            <v>3900</v>
          </cell>
          <cell r="Y50">
            <v>0</v>
          </cell>
          <cell r="Z50">
            <v>3900</v>
          </cell>
          <cell r="AA50"/>
        </row>
        <row r="51">
          <cell r="C51">
            <v>1040512000</v>
          </cell>
          <cell r="D51">
            <v>0</v>
          </cell>
          <cell r="E51">
            <v>0</v>
          </cell>
          <cell r="F51">
            <v>293096.96999999997</v>
          </cell>
          <cell r="G51">
            <v>293096.96999999997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293096.96999999997</v>
          </cell>
          <cell r="W51">
            <v>293096.96999999997</v>
          </cell>
          <cell r="X51">
            <v>293096.96999999997</v>
          </cell>
          <cell r="Y51">
            <v>293096.96999999997</v>
          </cell>
          <cell r="Z51">
            <v>0</v>
          </cell>
          <cell r="AA51"/>
        </row>
        <row r="52">
          <cell r="C52">
            <v>1040513000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/>
        </row>
        <row r="53">
          <cell r="C53">
            <v>1040599000</v>
          </cell>
          <cell r="D53">
            <v>0</v>
          </cell>
          <cell r="E53">
            <v>0</v>
          </cell>
          <cell r="F53">
            <v>89125</v>
          </cell>
          <cell r="G53">
            <v>89125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25570</v>
          </cell>
          <cell r="U53">
            <v>0</v>
          </cell>
          <cell r="V53">
            <v>114695</v>
          </cell>
          <cell r="W53">
            <v>89125</v>
          </cell>
          <cell r="X53">
            <v>114695</v>
          </cell>
          <cell r="Y53">
            <v>89125</v>
          </cell>
          <cell r="Z53">
            <v>25570</v>
          </cell>
          <cell r="AA53"/>
        </row>
        <row r="54">
          <cell r="C54">
            <v>1040601000</v>
          </cell>
          <cell r="D54">
            <v>1280293.1499999999</v>
          </cell>
          <cell r="E54">
            <v>0</v>
          </cell>
          <cell r="F54">
            <v>821025</v>
          </cell>
          <cell r="G54">
            <v>821025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752978.5</v>
          </cell>
          <cell r="U54">
            <v>1280293.1499999999</v>
          </cell>
          <cell r="V54">
            <v>1574003.5</v>
          </cell>
          <cell r="W54">
            <v>2101318.15</v>
          </cell>
          <cell r="X54">
            <v>2854296.65</v>
          </cell>
          <cell r="Y54">
            <v>2101318.15</v>
          </cell>
          <cell r="Z54">
            <v>752978.5</v>
          </cell>
          <cell r="AA54"/>
        </row>
        <row r="55">
          <cell r="C55">
            <v>1040507000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21480</v>
          </cell>
          <cell r="U55">
            <v>12990</v>
          </cell>
          <cell r="V55">
            <v>21480</v>
          </cell>
          <cell r="W55">
            <v>12990</v>
          </cell>
          <cell r="X55">
            <v>21480</v>
          </cell>
          <cell r="Y55">
            <v>12990</v>
          </cell>
          <cell r="Z55">
            <v>8490</v>
          </cell>
          <cell r="AA55"/>
        </row>
        <row r="56">
          <cell r="C56">
            <v>1990299000</v>
          </cell>
          <cell r="D56">
            <v>954710.92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68844.849999999991</v>
          </cell>
          <cell r="U56">
            <v>976205.77</v>
          </cell>
          <cell r="V56">
            <v>68844.849999999991</v>
          </cell>
          <cell r="W56">
            <v>976205.77</v>
          </cell>
          <cell r="X56">
            <v>1023555.77</v>
          </cell>
          <cell r="Y56">
            <v>976205.77</v>
          </cell>
          <cell r="Z56">
            <v>47350</v>
          </cell>
          <cell r="AA56"/>
        </row>
        <row r="57">
          <cell r="C57">
            <v>1020399000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/>
        </row>
        <row r="58">
          <cell r="C58">
            <v>1060101000</v>
          </cell>
          <cell r="D58">
            <v>13914630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13914630</v>
          </cell>
          <cell r="Y58">
            <v>0</v>
          </cell>
          <cell r="Z58">
            <v>13914630</v>
          </cell>
          <cell r="AA58"/>
        </row>
        <row r="59">
          <cell r="C59">
            <v>1060299000</v>
          </cell>
          <cell r="D59">
            <v>699000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699000</v>
          </cell>
          <cell r="Y59">
            <v>0</v>
          </cell>
          <cell r="Z59">
            <v>699000</v>
          </cell>
          <cell r="AA59"/>
        </row>
        <row r="60">
          <cell r="C60">
            <v>1060401000</v>
          </cell>
          <cell r="D60">
            <v>187950630.31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14223720.069999998</v>
          </cell>
          <cell r="U60">
            <v>9111966.0099999998</v>
          </cell>
          <cell r="V60">
            <v>14223720.069999998</v>
          </cell>
          <cell r="W60">
            <v>9111966.0099999998</v>
          </cell>
          <cell r="X60">
            <v>202174350.38</v>
          </cell>
          <cell r="Y60">
            <v>9111966.0099999998</v>
          </cell>
          <cell r="Z60">
            <v>193062384.37</v>
          </cell>
          <cell r="AA60"/>
        </row>
        <row r="61">
          <cell r="C61">
            <v>1060499000</v>
          </cell>
          <cell r="D61">
            <v>20865834.300000001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1390672.16</v>
          </cell>
          <cell r="U61">
            <v>0</v>
          </cell>
          <cell r="V61">
            <v>1390672.16</v>
          </cell>
          <cell r="W61">
            <v>0</v>
          </cell>
          <cell r="X61">
            <v>22256506.460000001</v>
          </cell>
          <cell r="Y61">
            <v>0</v>
          </cell>
          <cell r="Z61">
            <v>22256506.460000001</v>
          </cell>
          <cell r="AA61"/>
        </row>
        <row r="62">
          <cell r="C62">
            <v>1060501000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/>
        </row>
        <row r="63">
          <cell r="C63">
            <v>1060701000</v>
          </cell>
          <cell r="D63">
            <v>385810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55810</v>
          </cell>
          <cell r="V63">
            <v>0</v>
          </cell>
          <cell r="W63">
            <v>55810</v>
          </cell>
          <cell r="X63">
            <v>385810</v>
          </cell>
          <cell r="Y63">
            <v>55810</v>
          </cell>
          <cell r="Z63">
            <v>330000</v>
          </cell>
          <cell r="AA63"/>
        </row>
        <row r="64">
          <cell r="C64">
            <v>1060702000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/>
        </row>
        <row r="65">
          <cell r="C65">
            <v>1060803000</v>
          </cell>
          <cell r="D65">
            <v>727240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149560</v>
          </cell>
          <cell r="V65">
            <v>0</v>
          </cell>
          <cell r="W65">
            <v>149560</v>
          </cell>
          <cell r="X65">
            <v>727240</v>
          </cell>
          <cell r="Y65">
            <v>149560</v>
          </cell>
          <cell r="Z65">
            <v>577680</v>
          </cell>
          <cell r="AA65"/>
        </row>
        <row r="66">
          <cell r="C66">
            <v>1060502000</v>
          </cell>
          <cell r="D66">
            <v>14913574.039999999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4065487.79</v>
          </cell>
          <cell r="V66">
            <v>0</v>
          </cell>
          <cell r="W66">
            <v>4065487.79</v>
          </cell>
          <cell r="X66">
            <v>14913574.039999999</v>
          </cell>
          <cell r="Y66">
            <v>4065487.79</v>
          </cell>
          <cell r="Z66">
            <v>10848086.25</v>
          </cell>
          <cell r="AA66"/>
        </row>
        <row r="67">
          <cell r="C67">
            <v>1060503000</v>
          </cell>
          <cell r="D67">
            <v>55855054.600000001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758754.34</v>
          </cell>
          <cell r="U67">
            <v>5611605.9655172396</v>
          </cell>
          <cell r="V67">
            <v>758754.34</v>
          </cell>
          <cell r="W67">
            <v>5611605.9655172396</v>
          </cell>
          <cell r="X67">
            <v>56613808.940000005</v>
          </cell>
          <cell r="Y67">
            <v>5611605.9655172396</v>
          </cell>
          <cell r="Z67">
            <v>51002202.969999999</v>
          </cell>
          <cell r="AA67"/>
        </row>
        <row r="68">
          <cell r="C68">
            <v>1060507000</v>
          </cell>
          <cell r="D68">
            <v>8181442.96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8181442.96</v>
          </cell>
          <cell r="Y68">
            <v>0</v>
          </cell>
          <cell r="Z68">
            <v>8181442.96</v>
          </cell>
          <cell r="AA68"/>
        </row>
        <row r="69">
          <cell r="C69">
            <v>1060509000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/>
        </row>
        <row r="70">
          <cell r="C70">
            <v>1060511000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/>
        </row>
        <row r="71">
          <cell r="C71">
            <v>1060513000</v>
          </cell>
          <cell r="D71">
            <v>158769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158769</v>
          </cell>
          <cell r="Y71">
            <v>0</v>
          </cell>
          <cell r="Z71">
            <v>158769</v>
          </cell>
          <cell r="AA71"/>
        </row>
        <row r="72">
          <cell r="C72">
            <v>1060514000</v>
          </cell>
          <cell r="D72">
            <v>435078.56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435078.56</v>
          </cell>
          <cell r="Y72">
            <v>0</v>
          </cell>
          <cell r="Z72">
            <v>435078.56</v>
          </cell>
          <cell r="AA72"/>
        </row>
        <row r="73">
          <cell r="C73">
            <v>1060599000</v>
          </cell>
          <cell r="D73">
            <v>1877596.87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9740</v>
          </cell>
          <cell r="U73">
            <v>0</v>
          </cell>
          <cell r="V73">
            <v>9740</v>
          </cell>
          <cell r="W73">
            <v>0</v>
          </cell>
          <cell r="X73">
            <v>1887336.87</v>
          </cell>
          <cell r="Y73">
            <v>0</v>
          </cell>
          <cell r="Z73">
            <v>1887336.87</v>
          </cell>
          <cell r="AA73"/>
        </row>
        <row r="74">
          <cell r="C74">
            <v>1060601000</v>
          </cell>
          <cell r="D74">
            <v>54434186.759999998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1050000</v>
          </cell>
          <cell r="V74">
            <v>0</v>
          </cell>
          <cell r="W74">
            <v>1050000</v>
          </cell>
          <cell r="X74">
            <v>54434186.759999998</v>
          </cell>
          <cell r="Y74">
            <v>1050000</v>
          </cell>
          <cell r="Z74">
            <v>53384186.759999998</v>
          </cell>
          <cell r="AA74"/>
        </row>
        <row r="75">
          <cell r="C75">
            <v>1069999000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/>
        </row>
        <row r="76">
          <cell r="C76">
            <v>1080102000</v>
          </cell>
          <cell r="D76">
            <v>997450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997450</v>
          </cell>
          <cell r="Y76">
            <v>0</v>
          </cell>
          <cell r="Z76">
            <v>997450</v>
          </cell>
          <cell r="AA76"/>
        </row>
        <row r="77">
          <cell r="C77">
            <v>1990201000</v>
          </cell>
          <cell r="D77">
            <v>659980.51</v>
          </cell>
          <cell r="E77">
            <v>0</v>
          </cell>
          <cell r="F77">
            <v>82.31</v>
          </cell>
          <cell r="G77">
            <v>577994.15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82.31</v>
          </cell>
          <cell r="W77">
            <v>577994.15</v>
          </cell>
          <cell r="X77">
            <v>660062.82000000007</v>
          </cell>
          <cell r="Y77">
            <v>577994.15</v>
          </cell>
          <cell r="Z77">
            <v>82068.67</v>
          </cell>
          <cell r="AA77"/>
        </row>
        <row r="78">
          <cell r="C78">
            <v>1990202000</v>
          </cell>
          <cell r="D78">
            <v>104861.57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104861.57</v>
          </cell>
          <cell r="Y78">
            <v>0</v>
          </cell>
          <cell r="Z78">
            <v>104861.57</v>
          </cell>
          <cell r="AA78"/>
        </row>
        <row r="79">
          <cell r="C79">
            <v>1990205000</v>
          </cell>
          <cell r="D79">
            <v>748200.5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748200.5</v>
          </cell>
          <cell r="Y79">
            <v>0</v>
          </cell>
          <cell r="Z79">
            <v>748200.5</v>
          </cell>
          <cell r="AA79"/>
        </row>
        <row r="80">
          <cell r="C80">
            <v>1990210001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/>
        </row>
        <row r="81">
          <cell r="C81">
            <v>1060299100</v>
          </cell>
          <cell r="D81">
            <v>0</v>
          </cell>
          <cell r="E81">
            <v>477377.28000000003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477377.28000000003</v>
          </cell>
          <cell r="Z81"/>
          <cell r="AA81">
            <v>477377.28000000003</v>
          </cell>
        </row>
        <row r="82">
          <cell r="C82">
            <v>1060401100</v>
          </cell>
          <cell r="D82">
            <v>0</v>
          </cell>
          <cell r="E82">
            <v>40186563.590000004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1170466.72</v>
          </cell>
          <cell r="V82">
            <v>0</v>
          </cell>
          <cell r="W82">
            <v>1170466.72</v>
          </cell>
          <cell r="X82">
            <v>0</v>
          </cell>
          <cell r="Y82">
            <v>41357030.310000002</v>
          </cell>
          <cell r="Z82"/>
          <cell r="AA82">
            <v>41357030.310000002</v>
          </cell>
        </row>
        <row r="83">
          <cell r="C83">
            <v>1060499100</v>
          </cell>
          <cell r="D83">
            <v>0</v>
          </cell>
          <cell r="E83">
            <v>4688203.92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384562.06</v>
          </cell>
          <cell r="V83">
            <v>0</v>
          </cell>
          <cell r="W83">
            <v>384562.06</v>
          </cell>
          <cell r="X83">
            <v>0</v>
          </cell>
          <cell r="Y83">
            <v>5072765.9799999995</v>
          </cell>
          <cell r="Z83"/>
          <cell r="AA83">
            <v>5072765.9800000004</v>
          </cell>
        </row>
        <row r="84">
          <cell r="C84">
            <v>1060701100</v>
          </cell>
          <cell r="D84">
            <v>0</v>
          </cell>
          <cell r="E84">
            <v>204495.42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35346.33</v>
          </cell>
          <cell r="U84">
            <v>9975</v>
          </cell>
          <cell r="V84">
            <v>35346.33</v>
          </cell>
          <cell r="W84">
            <v>9975</v>
          </cell>
          <cell r="X84">
            <v>35346.33</v>
          </cell>
          <cell r="Y84">
            <v>214470.42</v>
          </cell>
          <cell r="Z84"/>
          <cell r="AA84">
            <v>179124.09</v>
          </cell>
        </row>
        <row r="85">
          <cell r="C85">
            <v>10607012000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20463.669999999998</v>
          </cell>
          <cell r="U85">
            <v>20463.669999999998</v>
          </cell>
          <cell r="V85">
            <v>20463.669999999998</v>
          </cell>
          <cell r="W85">
            <v>20463.669999999998</v>
          </cell>
          <cell r="X85">
            <v>20463.669999999998</v>
          </cell>
          <cell r="Y85">
            <v>20463.669999999998</v>
          </cell>
          <cell r="Z85"/>
          <cell r="AA85">
            <v>0</v>
          </cell>
        </row>
        <row r="86">
          <cell r="C86">
            <v>1060702100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/>
          <cell r="AA86">
            <v>0</v>
          </cell>
        </row>
        <row r="87">
          <cell r="C87">
            <v>1060502100</v>
          </cell>
          <cell r="D87">
            <v>0</v>
          </cell>
          <cell r="E87">
            <v>11870326.49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3843309.49</v>
          </cell>
          <cell r="U87">
            <v>167312.89000000001</v>
          </cell>
          <cell r="V87">
            <v>3843309.49</v>
          </cell>
          <cell r="W87">
            <v>167312.89000000001</v>
          </cell>
          <cell r="X87">
            <v>3843309.49</v>
          </cell>
          <cell r="Y87">
            <v>12037639.380000001</v>
          </cell>
          <cell r="Z87"/>
          <cell r="AA87">
            <v>8194329.8899999997</v>
          </cell>
        </row>
        <row r="88">
          <cell r="C88">
            <v>1060503100</v>
          </cell>
          <cell r="D88">
            <v>0</v>
          </cell>
          <cell r="E88">
            <v>24376861.690000001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4777023.6672413796</v>
          </cell>
          <cell r="U88">
            <v>2646821.48</v>
          </cell>
          <cell r="V88">
            <v>4777023.6672413796</v>
          </cell>
          <cell r="W88">
            <v>2646821.48</v>
          </cell>
          <cell r="X88">
            <v>4777023.6672413796</v>
          </cell>
          <cell r="Y88">
            <v>27023683.170000002</v>
          </cell>
          <cell r="Z88"/>
          <cell r="AA88">
            <v>22246659.5</v>
          </cell>
        </row>
        <row r="89">
          <cell r="C89">
            <v>1060803100</v>
          </cell>
          <cell r="D89">
            <v>0</v>
          </cell>
          <cell r="E89">
            <v>42892.5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42892.5</v>
          </cell>
          <cell r="Z89"/>
          <cell r="AA89">
            <v>42892.5</v>
          </cell>
        </row>
        <row r="90">
          <cell r="C90">
            <v>1060507100</v>
          </cell>
          <cell r="D90">
            <v>0</v>
          </cell>
          <cell r="E90">
            <v>1691845.95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372127.02</v>
          </cell>
          <cell r="V90">
            <v>0</v>
          </cell>
          <cell r="W90">
            <v>372127.02</v>
          </cell>
          <cell r="X90">
            <v>0</v>
          </cell>
          <cell r="Y90">
            <v>2063972.97</v>
          </cell>
          <cell r="Z90"/>
          <cell r="AA90">
            <v>2063972.97</v>
          </cell>
        </row>
        <row r="91">
          <cell r="C91">
            <v>1060509100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/>
          <cell r="AA91">
            <v>0</v>
          </cell>
        </row>
        <row r="92">
          <cell r="C92">
            <v>1060511100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/>
          <cell r="AA92">
            <v>0</v>
          </cell>
        </row>
        <row r="93">
          <cell r="C93">
            <v>1060513100</v>
          </cell>
          <cell r="D93">
            <v>0</v>
          </cell>
          <cell r="E93">
            <v>150830.54999999999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150830.54999999999</v>
          </cell>
          <cell r="Z93"/>
          <cell r="AA93">
            <v>150830.54999999999</v>
          </cell>
        </row>
        <row r="94">
          <cell r="C94">
            <v>1060514100</v>
          </cell>
          <cell r="D94">
            <v>0</v>
          </cell>
          <cell r="E94">
            <v>259851.51999999999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10084.540000000001</v>
          </cell>
          <cell r="V94">
            <v>0</v>
          </cell>
          <cell r="W94">
            <v>10084.540000000001</v>
          </cell>
          <cell r="X94">
            <v>0</v>
          </cell>
          <cell r="Y94">
            <v>269936.06</v>
          </cell>
          <cell r="Z94"/>
          <cell r="AA94">
            <v>269936.06</v>
          </cell>
        </row>
        <row r="95">
          <cell r="C95">
            <v>1060599100</v>
          </cell>
          <cell r="D95">
            <v>0</v>
          </cell>
          <cell r="E95">
            <v>719040.04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62674.53</v>
          </cell>
          <cell r="V95">
            <v>0</v>
          </cell>
          <cell r="W95">
            <v>62674.53</v>
          </cell>
          <cell r="X95">
            <v>0</v>
          </cell>
          <cell r="Y95">
            <v>781714.57000000007</v>
          </cell>
          <cell r="Z95"/>
          <cell r="AA95">
            <v>781714.57</v>
          </cell>
        </row>
        <row r="96">
          <cell r="C96">
            <v>1060501100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/>
          <cell r="AA96">
            <v>0</v>
          </cell>
        </row>
        <row r="97">
          <cell r="C97">
            <v>1060601100</v>
          </cell>
          <cell r="D97">
            <v>0</v>
          </cell>
          <cell r="E97">
            <v>28068258.16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142500</v>
          </cell>
          <cell r="U97">
            <v>1087016.22</v>
          </cell>
          <cell r="V97">
            <v>142500</v>
          </cell>
          <cell r="W97">
            <v>1087016.22</v>
          </cell>
          <cell r="X97">
            <v>142500</v>
          </cell>
          <cell r="Y97">
            <v>29155274.379999999</v>
          </cell>
          <cell r="Z97"/>
          <cell r="AA97">
            <v>29012774.379999999</v>
          </cell>
        </row>
        <row r="98">
          <cell r="C98">
            <v>1069999100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/>
          <cell r="AA98">
            <v>0</v>
          </cell>
        </row>
        <row r="99">
          <cell r="C99">
            <v>1080102100</v>
          </cell>
          <cell r="D99">
            <v>0</v>
          </cell>
          <cell r="E99">
            <v>94757.759999999995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94757.759999999995</v>
          </cell>
          <cell r="Z99"/>
          <cell r="AA99">
            <v>94757.759999999995</v>
          </cell>
        </row>
        <row r="100">
          <cell r="C100">
            <v>1069803000</v>
          </cell>
          <cell r="D100">
            <v>14161342.220000001</v>
          </cell>
          <cell r="E100">
            <v>0</v>
          </cell>
          <cell r="F100">
            <v>5797427.4899999993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9113537.6799999997</v>
          </cell>
          <cell r="U100">
            <v>15614392.229999999</v>
          </cell>
          <cell r="V100">
            <v>14910965.169999998</v>
          </cell>
          <cell r="W100">
            <v>15614392.229999999</v>
          </cell>
          <cell r="X100">
            <v>29072307.390000001</v>
          </cell>
          <cell r="Y100">
            <v>15614392.229999999</v>
          </cell>
          <cell r="Z100">
            <v>13457915.16</v>
          </cell>
          <cell r="AA100"/>
        </row>
        <row r="101">
          <cell r="C101">
            <v>2010101000</v>
          </cell>
          <cell r="D101">
            <v>0</v>
          </cell>
          <cell r="E101">
            <v>11883466.4</v>
          </cell>
          <cell r="F101">
            <v>182000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3339331.0799999991</v>
          </cell>
          <cell r="U101">
            <v>176698418.94999999</v>
          </cell>
          <cell r="V101">
            <v>3521331.0799999991</v>
          </cell>
          <cell r="W101">
            <v>176698418.94999999</v>
          </cell>
          <cell r="X101">
            <v>3521331.0799999991</v>
          </cell>
          <cell r="Y101">
            <v>188581885.34999999</v>
          </cell>
          <cell r="Z101"/>
          <cell r="AA101">
            <v>185060554.27000001</v>
          </cell>
        </row>
        <row r="102">
          <cell r="C102">
            <v>2010107000</v>
          </cell>
          <cell r="D102">
            <v>0</v>
          </cell>
          <cell r="E102">
            <v>299120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149560</v>
          </cell>
          <cell r="U102">
            <v>0</v>
          </cell>
          <cell r="V102">
            <v>149560</v>
          </cell>
          <cell r="W102">
            <v>0</v>
          </cell>
          <cell r="X102">
            <v>149560</v>
          </cell>
          <cell r="Y102">
            <v>299120</v>
          </cell>
          <cell r="Z102"/>
          <cell r="AA102">
            <v>149560</v>
          </cell>
        </row>
        <row r="103">
          <cell r="C103">
            <v>2040104000</v>
          </cell>
          <cell r="D103">
            <v>0</v>
          </cell>
          <cell r="E103">
            <v>6010704.9699999997</v>
          </cell>
          <cell r="F103">
            <v>501872.11</v>
          </cell>
          <cell r="G103">
            <v>735063.67</v>
          </cell>
          <cell r="H103">
            <v>37183</v>
          </cell>
          <cell r="I103">
            <v>54313.2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654.38</v>
          </cell>
          <cell r="U103">
            <v>0</v>
          </cell>
          <cell r="V103">
            <v>539709.49</v>
          </cell>
          <cell r="W103">
            <v>789376.87</v>
          </cell>
          <cell r="X103">
            <v>539709.49</v>
          </cell>
          <cell r="Y103">
            <v>6800081.8399999999</v>
          </cell>
          <cell r="Z103"/>
          <cell r="AA103">
            <v>6260372.3499999996</v>
          </cell>
        </row>
        <row r="104">
          <cell r="C104">
            <v>2020101000</v>
          </cell>
          <cell r="D104">
            <v>0</v>
          </cell>
          <cell r="E104">
            <v>5493124.3300000001</v>
          </cell>
          <cell r="F104">
            <v>0</v>
          </cell>
          <cell r="G104">
            <v>7583977.0399999972</v>
          </cell>
          <cell r="H104">
            <v>0</v>
          </cell>
          <cell r="I104">
            <v>7435872.8399999989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19487406.649999999</v>
          </cell>
          <cell r="U104">
            <v>0</v>
          </cell>
          <cell r="V104">
            <v>19487406.649999999</v>
          </cell>
          <cell r="W104">
            <v>15019849.879999995</v>
          </cell>
          <cell r="X104">
            <v>19487406.649999999</v>
          </cell>
          <cell r="Y104">
            <v>20512974.209999993</v>
          </cell>
          <cell r="Z104"/>
          <cell r="AA104">
            <v>1025567.56</v>
          </cell>
        </row>
        <row r="105">
          <cell r="C105">
            <v>2020102000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/>
          <cell r="AA105">
            <v>0</v>
          </cell>
        </row>
        <row r="106">
          <cell r="C106">
            <v>2020102001</v>
          </cell>
          <cell r="D106">
            <v>0</v>
          </cell>
          <cell r="E106">
            <v>4915470.59</v>
          </cell>
          <cell r="F106">
            <v>3881302.4199999967</v>
          </cell>
          <cell r="G106">
            <v>683461.96</v>
          </cell>
          <cell r="H106">
            <v>5015110.3199999994</v>
          </cell>
          <cell r="I106">
            <v>3369221.4100000006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8896412.7399999965</v>
          </cell>
          <cell r="W106">
            <v>4052683.3700000006</v>
          </cell>
          <cell r="X106">
            <v>8896412.7399999965</v>
          </cell>
          <cell r="Y106">
            <v>8968153.9600000009</v>
          </cell>
          <cell r="Z106"/>
          <cell r="AA106">
            <v>71741.22</v>
          </cell>
        </row>
        <row r="107">
          <cell r="C107">
            <v>2020102002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/>
          <cell r="AA107">
            <v>0</v>
          </cell>
        </row>
        <row r="108">
          <cell r="C108">
            <v>2020102003</v>
          </cell>
          <cell r="D108">
            <v>0</v>
          </cell>
          <cell r="E108">
            <v>5468200.9100000001</v>
          </cell>
          <cell r="F108">
            <v>5371258.5699999984</v>
          </cell>
          <cell r="G108">
            <v>1144596.3400000001</v>
          </cell>
          <cell r="H108">
            <v>5629130.4400000004</v>
          </cell>
          <cell r="I108">
            <v>4453065.54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11000389.009999998</v>
          </cell>
          <cell r="W108">
            <v>5597661.8799999999</v>
          </cell>
          <cell r="X108">
            <v>11000389.009999998</v>
          </cell>
          <cell r="Y108">
            <v>11065862.789999999</v>
          </cell>
          <cell r="Z108"/>
          <cell r="AA108">
            <v>65473.78</v>
          </cell>
        </row>
        <row r="109">
          <cell r="C109">
            <v>2020102004</v>
          </cell>
          <cell r="D109">
            <v>0</v>
          </cell>
          <cell r="E109">
            <v>246206.04</v>
          </cell>
          <cell r="F109">
            <v>244193.81</v>
          </cell>
          <cell r="G109">
            <v>28136.17</v>
          </cell>
          <cell r="H109">
            <v>206801.1</v>
          </cell>
          <cell r="I109">
            <v>178357.87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450994.91000000003</v>
          </cell>
          <cell r="W109">
            <v>206494.03999999998</v>
          </cell>
          <cell r="X109">
            <v>450994.91000000003</v>
          </cell>
          <cell r="Y109">
            <v>452700.07999999996</v>
          </cell>
          <cell r="Z109"/>
          <cell r="AA109">
            <v>1705.17</v>
          </cell>
        </row>
        <row r="110">
          <cell r="C110">
            <v>2020103000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/>
          <cell r="AA110">
            <v>0</v>
          </cell>
        </row>
        <row r="111">
          <cell r="C111">
            <v>2020103001</v>
          </cell>
          <cell r="D111">
            <v>0</v>
          </cell>
          <cell r="E111">
            <v>800248.79</v>
          </cell>
          <cell r="F111">
            <v>691776.16</v>
          </cell>
          <cell r="G111">
            <v>402726.16000000003</v>
          </cell>
          <cell r="H111">
            <v>0</v>
          </cell>
          <cell r="I111">
            <v>289450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691776.16</v>
          </cell>
          <cell r="W111">
            <v>692176.16</v>
          </cell>
          <cell r="X111">
            <v>691776.16</v>
          </cell>
          <cell r="Y111">
            <v>1492424.9500000002</v>
          </cell>
          <cell r="Z111"/>
          <cell r="AA111">
            <v>800648.79</v>
          </cell>
        </row>
        <row r="112">
          <cell r="C112">
            <v>2020103002</v>
          </cell>
          <cell r="D112">
            <v>0</v>
          </cell>
          <cell r="E112">
            <v>776458.66</v>
          </cell>
          <cell r="F112">
            <v>1552938.41</v>
          </cell>
          <cell r="G112">
            <v>293825.94</v>
          </cell>
          <cell r="H112">
            <v>0</v>
          </cell>
          <cell r="I112">
            <v>514108.23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1552938.41</v>
          </cell>
          <cell r="W112">
            <v>807934.16999999993</v>
          </cell>
          <cell r="X112">
            <v>1552938.41</v>
          </cell>
          <cell r="Y112">
            <v>1584392.83</v>
          </cell>
          <cell r="Z112"/>
          <cell r="AA112">
            <v>31454.42</v>
          </cell>
        </row>
        <row r="113">
          <cell r="C113">
            <v>2020103003</v>
          </cell>
          <cell r="D113">
            <v>0</v>
          </cell>
          <cell r="E113">
            <v>124796.44</v>
          </cell>
          <cell r="F113">
            <v>177185.8</v>
          </cell>
          <cell r="G113">
            <v>61744.1</v>
          </cell>
          <cell r="H113">
            <v>0</v>
          </cell>
          <cell r="I113">
            <v>26848.799999999999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177185.8</v>
          </cell>
          <cell r="W113">
            <v>88592.9</v>
          </cell>
          <cell r="X113">
            <v>177185.8</v>
          </cell>
          <cell r="Y113">
            <v>213389.34</v>
          </cell>
          <cell r="Z113"/>
          <cell r="AA113">
            <v>36203.54</v>
          </cell>
        </row>
        <row r="114">
          <cell r="C114">
            <v>2020104000</v>
          </cell>
          <cell r="D114">
            <v>0</v>
          </cell>
          <cell r="E114">
            <v>3876500.26</v>
          </cell>
          <cell r="F114">
            <v>1835260.1699999995</v>
          </cell>
          <cell r="G114">
            <v>199647.76</v>
          </cell>
          <cell r="H114">
            <v>2252571.1700000004</v>
          </cell>
          <cell r="I114">
            <v>927376.54999999993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4087831.34</v>
          </cell>
          <cell r="W114">
            <v>1127024.31</v>
          </cell>
          <cell r="X114">
            <v>4087831.34</v>
          </cell>
          <cell r="Y114">
            <v>5003524.57</v>
          </cell>
          <cell r="Z114"/>
          <cell r="AA114">
            <v>915693.23</v>
          </cell>
        </row>
        <row r="115">
          <cell r="C115">
            <v>2020105000</v>
          </cell>
          <cell r="D115">
            <v>0</v>
          </cell>
          <cell r="E115">
            <v>210000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210000</v>
          </cell>
          <cell r="Z115"/>
          <cell r="AA115">
            <v>210000</v>
          </cell>
        </row>
        <row r="116">
          <cell r="C116">
            <v>2020106000</v>
          </cell>
          <cell r="D116">
            <v>0</v>
          </cell>
          <cell r="E116">
            <v>3915371.53</v>
          </cell>
          <cell r="F116">
            <v>2856993.6399999997</v>
          </cell>
          <cell r="G116">
            <v>793310</v>
          </cell>
          <cell r="H116">
            <v>109600</v>
          </cell>
          <cell r="I116">
            <v>693200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2966593.6399999997</v>
          </cell>
          <cell r="W116">
            <v>1486510</v>
          </cell>
          <cell r="X116">
            <v>2966593.6399999997</v>
          </cell>
          <cell r="Y116">
            <v>5401881.5299999993</v>
          </cell>
          <cell r="Z116"/>
          <cell r="AA116">
            <v>2435287.89</v>
          </cell>
        </row>
        <row r="117">
          <cell r="C117">
            <v>2020107000</v>
          </cell>
          <cell r="D117">
            <v>0</v>
          </cell>
          <cell r="E117">
            <v>11012362.93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86511</v>
          </cell>
          <cell r="T117">
            <v>0</v>
          </cell>
          <cell r="U117">
            <v>0</v>
          </cell>
          <cell r="V117">
            <v>0</v>
          </cell>
          <cell r="W117">
            <v>86511</v>
          </cell>
          <cell r="X117">
            <v>0</v>
          </cell>
          <cell r="Y117">
            <v>11098873.93</v>
          </cell>
          <cell r="Z117"/>
          <cell r="AA117">
            <v>11098873.93</v>
          </cell>
        </row>
        <row r="118">
          <cell r="C118">
            <v>2030101000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/>
          <cell r="AA118">
            <v>0</v>
          </cell>
        </row>
        <row r="119">
          <cell r="C119">
            <v>2030103000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/>
          <cell r="AA119">
            <v>0</v>
          </cell>
        </row>
        <row r="120">
          <cell r="C120">
            <v>2030105000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/>
          <cell r="AA120">
            <v>0</v>
          </cell>
        </row>
        <row r="121">
          <cell r="C121">
            <v>2010102000</v>
          </cell>
          <cell r="D121">
            <v>0</v>
          </cell>
          <cell r="E121">
            <v>0</v>
          </cell>
          <cell r="F121">
            <v>0</v>
          </cell>
          <cell r="G121">
            <v>16276</v>
          </cell>
          <cell r="T121">
            <v>0</v>
          </cell>
          <cell r="U121">
            <v>0</v>
          </cell>
          <cell r="V121">
            <v>0</v>
          </cell>
          <cell r="W121">
            <v>16276</v>
          </cell>
          <cell r="X121">
            <v>0</v>
          </cell>
          <cell r="Y121">
            <v>16276</v>
          </cell>
          <cell r="Z121"/>
          <cell r="AA121">
            <v>16276</v>
          </cell>
        </row>
        <row r="122">
          <cell r="C122">
            <v>2040102000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/>
          <cell r="AA122">
            <v>0</v>
          </cell>
        </row>
        <row r="123">
          <cell r="C123">
            <v>2999999000</v>
          </cell>
          <cell r="D123">
            <v>0</v>
          </cell>
          <cell r="E123">
            <v>460037.24</v>
          </cell>
          <cell r="F123">
            <v>625076.6399999999</v>
          </cell>
          <cell r="G123">
            <v>1798990.28</v>
          </cell>
          <cell r="H123">
            <v>539482</v>
          </cell>
          <cell r="I123">
            <v>8234154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1164558.6399999999</v>
          </cell>
          <cell r="W123">
            <v>10033144.279999999</v>
          </cell>
          <cell r="X123">
            <v>1164558.6399999999</v>
          </cell>
          <cell r="Y123">
            <v>10493181.52</v>
          </cell>
          <cell r="Z123"/>
          <cell r="AA123">
            <v>9328622.8800000008</v>
          </cell>
        </row>
        <row r="124">
          <cell r="C124">
            <v>3010101000</v>
          </cell>
          <cell r="D124">
            <v>0</v>
          </cell>
          <cell r="E124">
            <v>112822084.66</v>
          </cell>
          <cell r="F124">
            <v>0</v>
          </cell>
          <cell r="G124">
            <v>0</v>
          </cell>
          <cell r="H124">
            <v>51431.210000000006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118403.53</v>
          </cell>
          <cell r="Q124">
            <v>0</v>
          </cell>
          <cell r="R124">
            <v>0</v>
          </cell>
          <cell r="S124">
            <v>0</v>
          </cell>
          <cell r="T124">
            <v>1147810</v>
          </cell>
          <cell r="U124">
            <v>3339331.0799999991</v>
          </cell>
          <cell r="V124">
            <v>1317644.74</v>
          </cell>
          <cell r="W124">
            <v>3339331.0799999991</v>
          </cell>
          <cell r="X124">
            <v>1317644.74</v>
          </cell>
          <cell r="Y124">
            <v>116161415.73999999</v>
          </cell>
          <cell r="Z124"/>
          <cell r="AA124">
            <v>114843771</v>
          </cell>
        </row>
        <row r="125">
          <cell r="C125">
            <v>4020106000</v>
          </cell>
          <cell r="D125">
            <v>0</v>
          </cell>
          <cell r="E125">
            <v>5000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1000</v>
          </cell>
          <cell r="T125">
            <v>0</v>
          </cell>
          <cell r="U125">
            <v>0</v>
          </cell>
          <cell r="V125">
            <v>0</v>
          </cell>
          <cell r="W125">
            <v>1000</v>
          </cell>
          <cell r="X125">
            <v>0</v>
          </cell>
          <cell r="Y125">
            <v>6000</v>
          </cell>
          <cell r="Z125"/>
          <cell r="AA125">
            <v>6000</v>
          </cell>
        </row>
        <row r="126">
          <cell r="C126">
            <v>4020101099</v>
          </cell>
          <cell r="D126">
            <v>0</v>
          </cell>
          <cell r="E126">
            <v>5500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1000</v>
          </cell>
          <cell r="T126">
            <v>0</v>
          </cell>
          <cell r="U126">
            <v>0</v>
          </cell>
          <cell r="V126">
            <v>0</v>
          </cell>
          <cell r="W126">
            <v>1000</v>
          </cell>
          <cell r="X126">
            <v>0</v>
          </cell>
          <cell r="Y126">
            <v>6500</v>
          </cell>
          <cell r="Z126"/>
          <cell r="AA126">
            <v>6500</v>
          </cell>
        </row>
        <row r="127">
          <cell r="C127">
            <v>4020102000</v>
          </cell>
          <cell r="D127">
            <v>0</v>
          </cell>
          <cell r="E127">
            <v>5000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5000</v>
          </cell>
          <cell r="Z127"/>
          <cell r="AA127">
            <v>5000</v>
          </cell>
        </row>
        <row r="128">
          <cell r="C128">
            <v>4020104001</v>
          </cell>
          <cell r="D128">
            <v>0</v>
          </cell>
          <cell r="E128">
            <v>288300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31800</v>
          </cell>
          <cell r="T128">
            <v>0</v>
          </cell>
          <cell r="U128">
            <v>0</v>
          </cell>
          <cell r="V128">
            <v>0</v>
          </cell>
          <cell r="W128">
            <v>31800</v>
          </cell>
          <cell r="X128">
            <v>0</v>
          </cell>
          <cell r="Y128">
            <v>320100</v>
          </cell>
          <cell r="Z128"/>
          <cell r="AA128">
            <v>320100</v>
          </cell>
        </row>
        <row r="129">
          <cell r="C129">
            <v>4030101000</v>
          </cell>
          <cell r="D129">
            <v>0</v>
          </cell>
          <cell r="E129">
            <v>9195812898.4899998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314315.59999999998</v>
          </cell>
          <cell r="U129">
            <v>585304755.6400001</v>
          </cell>
          <cell r="V129">
            <v>314315.59999999998</v>
          </cell>
          <cell r="W129">
            <v>585304755.6400001</v>
          </cell>
          <cell r="X129">
            <v>314315.59999999998</v>
          </cell>
          <cell r="Y129">
            <v>9781117654.1299992</v>
          </cell>
          <cell r="Z129"/>
          <cell r="AA129">
            <v>9780803338.5300007</v>
          </cell>
        </row>
        <row r="130">
          <cell r="C130">
            <v>4030102000</v>
          </cell>
          <cell r="D130">
            <v>0</v>
          </cell>
          <cell r="E130">
            <v>2011675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2011675</v>
          </cell>
          <cell r="Z130"/>
          <cell r="AA130">
            <v>2011675</v>
          </cell>
        </row>
        <row r="131">
          <cell r="C131">
            <v>4030106000</v>
          </cell>
          <cell r="D131">
            <v>0</v>
          </cell>
          <cell r="E131">
            <v>65677076.770000003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1292145</v>
          </cell>
          <cell r="U131">
            <v>14816212.34</v>
          </cell>
          <cell r="V131">
            <v>1292145</v>
          </cell>
          <cell r="W131">
            <v>14816212.34</v>
          </cell>
          <cell r="X131">
            <v>1292145</v>
          </cell>
          <cell r="Y131">
            <v>80493289.109999999</v>
          </cell>
          <cell r="Z131"/>
          <cell r="AA131">
            <v>79201144.109999999</v>
          </cell>
        </row>
        <row r="132">
          <cell r="C132">
            <v>4030107000</v>
          </cell>
          <cell r="D132">
            <v>0</v>
          </cell>
          <cell r="E132">
            <v>5445000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145839609.75999999</v>
          </cell>
          <cell r="V132">
            <v>0</v>
          </cell>
          <cell r="W132">
            <v>145839609.75999999</v>
          </cell>
          <cell r="X132">
            <v>0</v>
          </cell>
          <cell r="Y132">
            <v>151284609.75999999</v>
          </cell>
          <cell r="Z132"/>
          <cell r="AA132">
            <v>151284609.75999999</v>
          </cell>
        </row>
        <row r="133">
          <cell r="C133">
            <v>4040201000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/>
          <cell r="AA133">
            <v>0</v>
          </cell>
        </row>
        <row r="134">
          <cell r="C134">
            <v>4040202000</v>
          </cell>
          <cell r="D134">
            <v>0</v>
          </cell>
          <cell r="E134">
            <v>95000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95000</v>
          </cell>
          <cell r="Z134"/>
          <cell r="AA134">
            <v>95000</v>
          </cell>
        </row>
        <row r="135">
          <cell r="C135">
            <v>4020114000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/>
          <cell r="AA135">
            <v>0</v>
          </cell>
        </row>
        <row r="136">
          <cell r="C136">
            <v>4020202000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/>
          <cell r="AA136">
            <v>0</v>
          </cell>
        </row>
        <row r="137">
          <cell r="C137">
            <v>4020205000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/>
          <cell r="AA137">
            <v>0</v>
          </cell>
        </row>
        <row r="138">
          <cell r="C138">
            <v>4020213000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/>
          <cell r="AA138">
            <v>0</v>
          </cell>
        </row>
        <row r="139">
          <cell r="C139">
            <v>4020221099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/>
          <cell r="AA139">
            <v>0</v>
          </cell>
        </row>
        <row r="140">
          <cell r="C140">
            <v>4050199000</v>
          </cell>
          <cell r="D140">
            <v>0</v>
          </cell>
          <cell r="E140">
            <v>200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200</v>
          </cell>
          <cell r="Z140"/>
          <cell r="AA140">
            <v>200</v>
          </cell>
        </row>
        <row r="141">
          <cell r="C141">
            <v>4069999000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/>
          <cell r="AA141">
            <v>0</v>
          </cell>
        </row>
        <row r="142">
          <cell r="C142">
            <v>5010101001</v>
          </cell>
          <cell r="D142">
            <v>54763161.5</v>
          </cell>
          <cell r="E142">
            <v>0</v>
          </cell>
          <cell r="F142">
            <v>5471805.9100000011</v>
          </cell>
          <cell r="G142">
            <v>2900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164941.04999999999</v>
          </cell>
          <cell r="U142">
            <v>0</v>
          </cell>
          <cell r="V142">
            <v>5636746.9600000009</v>
          </cell>
          <cell r="W142">
            <v>2900</v>
          </cell>
          <cell r="X142">
            <v>60399908.460000001</v>
          </cell>
          <cell r="Y142">
            <v>2900</v>
          </cell>
          <cell r="Z142">
            <v>60397008.460000001</v>
          </cell>
          <cell r="AA142"/>
        </row>
        <row r="143">
          <cell r="C143">
            <v>5010102000</v>
          </cell>
          <cell r="D143">
            <v>590989964.05999994</v>
          </cell>
          <cell r="E143">
            <v>0</v>
          </cell>
          <cell r="F143">
            <v>10154861.840000002</v>
          </cell>
          <cell r="G143">
            <v>0</v>
          </cell>
          <cell r="H143">
            <v>92372226.209999993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8618818.5099999998</v>
          </cell>
          <cell r="U143">
            <v>0</v>
          </cell>
          <cell r="V143">
            <v>111145906.56</v>
          </cell>
          <cell r="W143">
            <v>0</v>
          </cell>
          <cell r="X143">
            <v>702135870.61999989</v>
          </cell>
          <cell r="Y143">
            <v>0</v>
          </cell>
          <cell r="Z143">
            <v>702135870.62</v>
          </cell>
          <cell r="AA143"/>
        </row>
        <row r="144">
          <cell r="C144">
            <v>5010201001</v>
          </cell>
          <cell r="D144">
            <v>2471681.85</v>
          </cell>
          <cell r="E144">
            <v>0</v>
          </cell>
          <cell r="F144">
            <v>254474.55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5000</v>
          </cell>
          <cell r="U144">
            <v>0</v>
          </cell>
          <cell r="V144">
            <v>259474.55</v>
          </cell>
          <cell r="W144">
            <v>0</v>
          </cell>
          <cell r="X144">
            <v>2731156.4</v>
          </cell>
          <cell r="Y144">
            <v>0</v>
          </cell>
          <cell r="Z144">
            <v>2731156.4</v>
          </cell>
          <cell r="AA144"/>
        </row>
        <row r="145">
          <cell r="C145">
            <v>5010210001</v>
          </cell>
          <cell r="D145">
            <v>3832.21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3832.21</v>
          </cell>
          <cell r="Y145">
            <v>0</v>
          </cell>
          <cell r="Z145">
            <v>3832.21</v>
          </cell>
          <cell r="AA145"/>
        </row>
        <row r="146">
          <cell r="C146">
            <v>5010211002</v>
          </cell>
          <cell r="D146">
            <v>5243173.3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5243173.3</v>
          </cell>
          <cell r="Y146">
            <v>0</v>
          </cell>
          <cell r="Z146">
            <v>5243173.3</v>
          </cell>
          <cell r="AA146"/>
        </row>
        <row r="147">
          <cell r="C147">
            <v>5010212001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/>
        </row>
        <row r="148">
          <cell r="C148">
            <v>5010202000</v>
          </cell>
          <cell r="D148">
            <v>489500</v>
          </cell>
          <cell r="E148">
            <v>0</v>
          </cell>
          <cell r="F148">
            <v>37500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37500</v>
          </cell>
          <cell r="W148">
            <v>0</v>
          </cell>
          <cell r="X148">
            <v>527000</v>
          </cell>
          <cell r="Y148">
            <v>0</v>
          </cell>
          <cell r="Z148">
            <v>527000</v>
          </cell>
          <cell r="AA148"/>
        </row>
        <row r="149">
          <cell r="C149">
            <v>5010203001</v>
          </cell>
          <cell r="D149">
            <v>489500</v>
          </cell>
          <cell r="E149">
            <v>0</v>
          </cell>
          <cell r="F149">
            <v>37500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37500</v>
          </cell>
          <cell r="W149">
            <v>0</v>
          </cell>
          <cell r="X149">
            <v>527000</v>
          </cell>
          <cell r="Y149">
            <v>0</v>
          </cell>
          <cell r="Z149">
            <v>527000</v>
          </cell>
          <cell r="AA149"/>
        </row>
        <row r="150">
          <cell r="C150">
            <v>5010204001</v>
          </cell>
          <cell r="D150">
            <v>1463000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1463000</v>
          </cell>
          <cell r="Y150">
            <v>0</v>
          </cell>
          <cell r="Z150">
            <v>1463000</v>
          </cell>
          <cell r="AA150"/>
        </row>
        <row r="151">
          <cell r="C151">
            <v>5010205003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/>
        </row>
        <row r="152">
          <cell r="C152">
            <v>5010205004</v>
          </cell>
          <cell r="D152">
            <v>323675</v>
          </cell>
          <cell r="E152">
            <v>0</v>
          </cell>
          <cell r="F152">
            <v>62500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62500</v>
          </cell>
          <cell r="W152">
            <v>0</v>
          </cell>
          <cell r="X152">
            <v>386175</v>
          </cell>
          <cell r="Y152">
            <v>0</v>
          </cell>
          <cell r="Z152">
            <v>386175</v>
          </cell>
          <cell r="AA152"/>
        </row>
        <row r="153">
          <cell r="C153">
            <v>5010206003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/>
        </row>
        <row r="154">
          <cell r="C154">
            <v>5010206004</v>
          </cell>
          <cell r="D154">
            <v>0</v>
          </cell>
          <cell r="E154">
            <v>0</v>
          </cell>
          <cell r="F154">
            <v>3600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3600</v>
          </cell>
          <cell r="W154">
            <v>0</v>
          </cell>
          <cell r="X154">
            <v>3600</v>
          </cell>
          <cell r="Y154">
            <v>0</v>
          </cell>
          <cell r="Z154">
            <v>3600</v>
          </cell>
          <cell r="AA154"/>
        </row>
        <row r="155">
          <cell r="C155">
            <v>5010207004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/>
        </row>
        <row r="156">
          <cell r="C156">
            <v>5010211006</v>
          </cell>
          <cell r="D156">
            <v>3713395.83</v>
          </cell>
          <cell r="E156">
            <v>0</v>
          </cell>
          <cell r="F156">
            <v>1423177.48</v>
          </cell>
          <cell r="G156">
            <v>0</v>
          </cell>
          <cell r="H156">
            <v>0</v>
          </cell>
          <cell r="I156">
            <v>0</v>
          </cell>
          <cell r="T156">
            <v>2125509.67</v>
          </cell>
          <cell r="U156">
            <v>0</v>
          </cell>
          <cell r="V156">
            <v>3548687.15</v>
          </cell>
          <cell r="W156">
            <v>0</v>
          </cell>
          <cell r="X156">
            <v>7262082.9800000004</v>
          </cell>
          <cell r="Y156">
            <v>0</v>
          </cell>
          <cell r="Z156">
            <v>7262082.9800000004</v>
          </cell>
          <cell r="AA156"/>
        </row>
        <row r="157">
          <cell r="C157">
            <v>5010208001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/>
        </row>
        <row r="158">
          <cell r="C158">
            <v>5010299011</v>
          </cell>
          <cell r="D158">
            <v>0</v>
          </cell>
          <cell r="E158">
            <v>0</v>
          </cell>
          <cell r="F158">
            <v>6228000</v>
          </cell>
          <cell r="G158">
            <v>0</v>
          </cell>
          <cell r="H158">
            <v>32137641.82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1259990</v>
          </cell>
          <cell r="U158">
            <v>0</v>
          </cell>
          <cell r="V158">
            <v>39625631.82</v>
          </cell>
          <cell r="W158">
            <v>0</v>
          </cell>
          <cell r="X158">
            <v>39625631.82</v>
          </cell>
          <cell r="Y158">
            <v>0</v>
          </cell>
          <cell r="Z158">
            <v>39625631.82</v>
          </cell>
          <cell r="AA158"/>
        </row>
        <row r="159">
          <cell r="C159">
            <v>5010299012</v>
          </cell>
          <cell r="D159">
            <v>0</v>
          </cell>
          <cell r="E159">
            <v>0</v>
          </cell>
          <cell r="F159">
            <v>640000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1000</v>
          </cell>
          <cell r="U159">
            <v>0</v>
          </cell>
          <cell r="V159">
            <v>641000</v>
          </cell>
          <cell r="W159">
            <v>0</v>
          </cell>
          <cell r="X159">
            <v>641000</v>
          </cell>
          <cell r="Y159">
            <v>0</v>
          </cell>
          <cell r="Z159">
            <v>641000</v>
          </cell>
          <cell r="AA159"/>
        </row>
        <row r="160">
          <cell r="C160">
            <v>5010299014</v>
          </cell>
          <cell r="D160">
            <v>13871704.27</v>
          </cell>
          <cell r="E160">
            <v>0</v>
          </cell>
          <cell r="F160">
            <v>24332.780000000002</v>
          </cell>
          <cell r="G160">
            <v>0</v>
          </cell>
          <cell r="H160">
            <v>1067034.43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656266.46000000008</v>
          </cell>
          <cell r="U160">
            <v>0</v>
          </cell>
          <cell r="V160">
            <v>1747633.67</v>
          </cell>
          <cell r="W160">
            <v>0</v>
          </cell>
          <cell r="X160">
            <v>15619337.939999999</v>
          </cell>
          <cell r="Y160">
            <v>0</v>
          </cell>
          <cell r="Z160">
            <v>15619337.939999999</v>
          </cell>
          <cell r="AA160"/>
        </row>
        <row r="161">
          <cell r="C161">
            <v>5010216001</v>
          </cell>
          <cell r="D161">
            <v>4628561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4628561</v>
          </cell>
          <cell r="Y161">
            <v>0</v>
          </cell>
          <cell r="Z161">
            <v>4628561</v>
          </cell>
          <cell r="AA161"/>
        </row>
        <row r="162">
          <cell r="C162">
            <v>5010299038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/>
        </row>
        <row r="163">
          <cell r="C163">
            <v>5010213001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/>
        </row>
        <row r="164">
          <cell r="C164">
            <v>5010213002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/>
        </row>
        <row r="165">
          <cell r="C165">
            <v>5010215001</v>
          </cell>
          <cell r="D165">
            <v>627000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8000</v>
          </cell>
          <cell r="U165">
            <v>0</v>
          </cell>
          <cell r="V165">
            <v>8000</v>
          </cell>
          <cell r="W165">
            <v>0</v>
          </cell>
          <cell r="X165">
            <v>635000</v>
          </cell>
          <cell r="Y165">
            <v>0</v>
          </cell>
          <cell r="Z165">
            <v>635000</v>
          </cell>
          <cell r="AA165"/>
        </row>
        <row r="166">
          <cell r="C166">
            <v>5010214001</v>
          </cell>
          <cell r="D166">
            <v>4693810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28341.95</v>
          </cell>
          <cell r="U166">
            <v>0</v>
          </cell>
          <cell r="V166">
            <v>28341.95</v>
          </cell>
          <cell r="W166">
            <v>0</v>
          </cell>
          <cell r="X166">
            <v>4722151.95</v>
          </cell>
          <cell r="Y166">
            <v>0</v>
          </cell>
          <cell r="Z166">
            <v>4722151.95</v>
          </cell>
          <cell r="AA166"/>
        </row>
        <row r="167">
          <cell r="C167">
            <v>5010301000</v>
          </cell>
          <cell r="D167">
            <v>5836587.8399999999</v>
          </cell>
          <cell r="E167">
            <v>0</v>
          </cell>
          <cell r="F167">
            <v>768466.38000000047</v>
          </cell>
          <cell r="G167">
            <v>0</v>
          </cell>
          <cell r="H167">
            <v>605873.54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12840.95</v>
          </cell>
          <cell r="U167">
            <v>0</v>
          </cell>
          <cell r="V167">
            <v>1387180.8700000003</v>
          </cell>
          <cell r="W167">
            <v>0</v>
          </cell>
          <cell r="X167">
            <v>7223768.71</v>
          </cell>
          <cell r="Y167">
            <v>0</v>
          </cell>
          <cell r="Z167">
            <v>7223768.71</v>
          </cell>
          <cell r="AA167"/>
        </row>
        <row r="168">
          <cell r="C168">
            <v>5010302001</v>
          </cell>
          <cell r="D168">
            <v>242200</v>
          </cell>
          <cell r="E168">
            <v>0</v>
          </cell>
          <cell r="F168">
            <v>25200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200</v>
          </cell>
          <cell r="U168">
            <v>0</v>
          </cell>
          <cell r="V168">
            <v>25400</v>
          </cell>
          <cell r="W168">
            <v>0</v>
          </cell>
          <cell r="X168">
            <v>267600</v>
          </cell>
          <cell r="Y168">
            <v>0</v>
          </cell>
          <cell r="Z168">
            <v>267600</v>
          </cell>
          <cell r="AA168"/>
        </row>
        <row r="169">
          <cell r="C169">
            <v>5010303001</v>
          </cell>
          <cell r="D169">
            <v>1168185.18</v>
          </cell>
          <cell r="E169">
            <v>0</v>
          </cell>
          <cell r="F169">
            <v>0</v>
          </cell>
          <cell r="G169">
            <v>0</v>
          </cell>
          <cell r="H169">
            <v>234105.55999999997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202.62</v>
          </cell>
          <cell r="U169">
            <v>0</v>
          </cell>
          <cell r="V169">
            <v>234308.17999999996</v>
          </cell>
          <cell r="W169">
            <v>0</v>
          </cell>
          <cell r="X169">
            <v>1402493.3599999999</v>
          </cell>
          <cell r="Y169">
            <v>0</v>
          </cell>
          <cell r="Z169">
            <v>1402493.36</v>
          </cell>
          <cell r="AA169"/>
        </row>
        <row r="170">
          <cell r="C170">
            <v>5010304001</v>
          </cell>
          <cell r="D170">
            <v>134490.73000000001</v>
          </cell>
          <cell r="E170">
            <v>0</v>
          </cell>
          <cell r="F170">
            <v>12800</v>
          </cell>
          <cell r="G170">
            <v>0</v>
          </cell>
          <cell r="H170">
            <v>12900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200</v>
          </cell>
          <cell r="U170">
            <v>0</v>
          </cell>
          <cell r="V170">
            <v>25900</v>
          </cell>
          <cell r="W170">
            <v>0</v>
          </cell>
          <cell r="X170">
            <v>160390.73000000001</v>
          </cell>
          <cell r="Y170">
            <v>0</v>
          </cell>
          <cell r="Z170">
            <v>160390.73000000001</v>
          </cell>
          <cell r="AA170"/>
        </row>
        <row r="171">
          <cell r="C171">
            <v>5010401001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/>
        </row>
        <row r="172">
          <cell r="C172">
            <v>5010402001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/>
        </row>
        <row r="173">
          <cell r="C173">
            <v>5010403001</v>
          </cell>
          <cell r="D173">
            <v>3073076.18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922512.74</v>
          </cell>
          <cell r="U173">
            <v>0</v>
          </cell>
          <cell r="V173">
            <v>922512.74</v>
          </cell>
          <cell r="W173">
            <v>0</v>
          </cell>
          <cell r="X173">
            <v>3995588.92</v>
          </cell>
          <cell r="Y173">
            <v>0</v>
          </cell>
          <cell r="Z173">
            <v>3995588.92</v>
          </cell>
          <cell r="AA173"/>
        </row>
        <row r="174">
          <cell r="C174">
            <v>5010499015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/>
        </row>
        <row r="175">
          <cell r="C175">
            <v>5010499010</v>
          </cell>
          <cell r="D175">
            <v>768.99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768.99</v>
          </cell>
          <cell r="Y175">
            <v>0</v>
          </cell>
          <cell r="Z175">
            <v>768.99</v>
          </cell>
          <cell r="AA175"/>
        </row>
        <row r="176">
          <cell r="C176">
            <v>5010499011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/>
        </row>
        <row r="177">
          <cell r="C177">
            <v>5010499099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25633298.41</v>
          </cell>
          <cell r="U177">
            <v>0</v>
          </cell>
          <cell r="V177">
            <v>25633298.41</v>
          </cell>
          <cell r="W177">
            <v>0</v>
          </cell>
          <cell r="X177">
            <v>25633298.41</v>
          </cell>
          <cell r="Y177">
            <v>0</v>
          </cell>
          <cell r="Z177">
            <v>25633298.41</v>
          </cell>
          <cell r="AA177"/>
        </row>
        <row r="178">
          <cell r="C178">
            <v>5020101000</v>
          </cell>
          <cell r="D178">
            <v>97045735.450000003</v>
          </cell>
          <cell r="E178">
            <v>0</v>
          </cell>
          <cell r="F178">
            <v>11669369.74</v>
          </cell>
          <cell r="G178">
            <v>0</v>
          </cell>
          <cell r="H178">
            <v>4394110.32</v>
          </cell>
          <cell r="I178">
            <v>0</v>
          </cell>
          <cell r="J178">
            <v>1875969.0600000003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900</v>
          </cell>
          <cell r="T178">
            <v>4492635.9800000004</v>
          </cell>
          <cell r="U178">
            <v>56798.12</v>
          </cell>
          <cell r="V178">
            <v>22432085.100000001</v>
          </cell>
          <cell r="W178">
            <v>57698.12</v>
          </cell>
          <cell r="X178">
            <v>119477820.55000001</v>
          </cell>
          <cell r="Y178">
            <v>57698.12</v>
          </cell>
          <cell r="Z178">
            <v>119420122.43000001</v>
          </cell>
          <cell r="AA178"/>
        </row>
        <row r="179">
          <cell r="C179">
            <v>5020201002</v>
          </cell>
          <cell r="D179">
            <v>40931417.490000002</v>
          </cell>
          <cell r="E179">
            <v>0</v>
          </cell>
          <cell r="F179">
            <v>7643313.5099999998</v>
          </cell>
          <cell r="G179">
            <v>0</v>
          </cell>
          <cell r="H179">
            <v>2742566.17</v>
          </cell>
          <cell r="I179">
            <v>0</v>
          </cell>
          <cell r="J179">
            <v>357772.25</v>
          </cell>
          <cell r="K179">
            <v>0</v>
          </cell>
          <cell r="L179">
            <v>0</v>
          </cell>
          <cell r="M179">
            <v>0</v>
          </cell>
          <cell r="N179">
            <v>49903.55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4228775.5199999996</v>
          </cell>
          <cell r="U179">
            <v>0</v>
          </cell>
          <cell r="V179">
            <v>15022331</v>
          </cell>
          <cell r="W179">
            <v>0</v>
          </cell>
          <cell r="X179">
            <v>55953748.490000002</v>
          </cell>
          <cell r="Y179">
            <v>0</v>
          </cell>
          <cell r="Z179">
            <v>55953748.490000002</v>
          </cell>
          <cell r="AA179"/>
        </row>
        <row r="180">
          <cell r="C180">
            <v>5020202000</v>
          </cell>
          <cell r="D180">
            <v>82270.31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82270.31</v>
          </cell>
          <cell r="Y180">
            <v>0</v>
          </cell>
          <cell r="Z180">
            <v>82270.31</v>
          </cell>
          <cell r="AA180"/>
        </row>
        <row r="181">
          <cell r="C181">
            <v>5020301001</v>
          </cell>
          <cell r="D181">
            <v>30393.09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30393.09</v>
          </cell>
          <cell r="Y181">
            <v>0</v>
          </cell>
          <cell r="Z181">
            <v>30393.09</v>
          </cell>
          <cell r="AA181"/>
        </row>
        <row r="182">
          <cell r="C182">
            <v>5020301002</v>
          </cell>
          <cell r="D182">
            <v>12742217.140000001</v>
          </cell>
          <cell r="E182">
            <v>0</v>
          </cell>
          <cell r="F182">
            <v>608342.26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751283.36</v>
          </cell>
          <cell r="U182">
            <v>0</v>
          </cell>
          <cell r="V182">
            <v>1359625.62</v>
          </cell>
          <cell r="W182">
            <v>0</v>
          </cell>
          <cell r="X182">
            <v>14101842.760000002</v>
          </cell>
          <cell r="Y182">
            <v>0</v>
          </cell>
          <cell r="Z182">
            <v>14101842.76</v>
          </cell>
          <cell r="AA182"/>
        </row>
        <row r="183">
          <cell r="C183">
            <v>5020302000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/>
        </row>
        <row r="184">
          <cell r="C184">
            <v>5020305000</v>
          </cell>
          <cell r="D184">
            <v>6500881.1100000003</v>
          </cell>
          <cell r="E184">
            <v>0</v>
          </cell>
          <cell r="F184">
            <v>557746.78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1070712.8010049197</v>
          </cell>
          <cell r="U184">
            <v>0</v>
          </cell>
          <cell r="V184">
            <v>1628459.5810049197</v>
          </cell>
          <cell r="W184">
            <v>0</v>
          </cell>
          <cell r="X184">
            <v>8129340.6910049198</v>
          </cell>
          <cell r="Y184">
            <v>0</v>
          </cell>
          <cell r="Z184">
            <v>8129340.6900000004</v>
          </cell>
          <cell r="AA184"/>
        </row>
        <row r="185">
          <cell r="C185">
            <v>5020306000</v>
          </cell>
          <cell r="D185">
            <v>64552062.829999998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80303359.25999999</v>
          </cell>
          <cell r="U185">
            <v>0</v>
          </cell>
          <cell r="V185">
            <v>80303359.25999999</v>
          </cell>
          <cell r="W185">
            <v>0</v>
          </cell>
          <cell r="X185">
            <v>144855422.08999997</v>
          </cell>
          <cell r="Y185">
            <v>0</v>
          </cell>
          <cell r="Z185">
            <v>144855422.09</v>
          </cell>
          <cell r="AA185"/>
        </row>
        <row r="186">
          <cell r="C186">
            <v>5020307000</v>
          </cell>
          <cell r="D186">
            <v>361289.04</v>
          </cell>
          <cell r="E186">
            <v>0</v>
          </cell>
          <cell r="F186">
            <v>103086.55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30766.02</v>
          </cell>
          <cell r="U186">
            <v>0</v>
          </cell>
          <cell r="V186">
            <v>133852.57</v>
          </cell>
          <cell r="W186">
            <v>0</v>
          </cell>
          <cell r="X186">
            <v>495141.61</v>
          </cell>
          <cell r="Y186">
            <v>0</v>
          </cell>
          <cell r="Z186">
            <v>495141.61</v>
          </cell>
          <cell r="AA186"/>
        </row>
        <row r="187">
          <cell r="C187">
            <v>5020308000</v>
          </cell>
          <cell r="D187">
            <v>712861.17</v>
          </cell>
          <cell r="E187">
            <v>0</v>
          </cell>
          <cell r="F187">
            <v>7703.8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7018.9400000000005</v>
          </cell>
          <cell r="U187">
            <v>0</v>
          </cell>
          <cell r="V187">
            <v>14722.740000000002</v>
          </cell>
          <cell r="W187">
            <v>0</v>
          </cell>
          <cell r="X187">
            <v>727583.91</v>
          </cell>
          <cell r="Y187">
            <v>0</v>
          </cell>
          <cell r="Z187">
            <v>727583.91</v>
          </cell>
          <cell r="AA187"/>
        </row>
        <row r="188">
          <cell r="C188">
            <v>5020309000</v>
          </cell>
          <cell r="D188">
            <v>4760089.2</v>
          </cell>
          <cell r="E188">
            <v>0</v>
          </cell>
          <cell r="F188">
            <v>147717.64000000001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668650.37</v>
          </cell>
          <cell r="U188">
            <v>0</v>
          </cell>
          <cell r="V188">
            <v>816368.01</v>
          </cell>
          <cell r="W188">
            <v>0</v>
          </cell>
          <cell r="X188">
            <v>5576457.21</v>
          </cell>
          <cell r="Y188">
            <v>0</v>
          </cell>
          <cell r="Z188">
            <v>5576457.21</v>
          </cell>
          <cell r="AA188"/>
        </row>
        <row r="189">
          <cell r="C189">
            <v>5020399000</v>
          </cell>
          <cell r="D189">
            <v>88168961.310000002</v>
          </cell>
          <cell r="E189">
            <v>0</v>
          </cell>
          <cell r="F189">
            <v>1388147.1</v>
          </cell>
          <cell r="G189">
            <v>0</v>
          </cell>
          <cell r="H189">
            <v>14786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779315.72899508011</v>
          </cell>
          <cell r="U189">
            <v>0</v>
          </cell>
          <cell r="V189">
            <v>2182248.8289950802</v>
          </cell>
          <cell r="W189">
            <v>0</v>
          </cell>
          <cell r="X189">
            <v>90351210.138995081</v>
          </cell>
          <cell r="Y189">
            <v>0</v>
          </cell>
          <cell r="Z189">
            <v>90351210.140000001</v>
          </cell>
          <cell r="AA189"/>
        </row>
        <row r="190">
          <cell r="C190">
            <v>5020321002</v>
          </cell>
          <cell r="D190">
            <v>3531146.48</v>
          </cell>
          <cell r="E190">
            <v>0</v>
          </cell>
          <cell r="F190">
            <v>579980.6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579980.6</v>
          </cell>
          <cell r="W190">
            <v>0</v>
          </cell>
          <cell r="X190">
            <v>4111127.08</v>
          </cell>
          <cell r="Y190">
            <v>0</v>
          </cell>
          <cell r="Z190">
            <v>4111127.08</v>
          </cell>
          <cell r="AA190"/>
        </row>
        <row r="191">
          <cell r="C191">
            <v>5020321012</v>
          </cell>
          <cell r="D191">
            <v>0</v>
          </cell>
          <cell r="E191">
            <v>0</v>
          </cell>
          <cell r="F191">
            <v>293096.96999999997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293096.96999999997</v>
          </cell>
          <cell r="W191">
            <v>0</v>
          </cell>
          <cell r="X191">
            <v>293096.96999999997</v>
          </cell>
          <cell r="Y191">
            <v>0</v>
          </cell>
          <cell r="Z191">
            <v>293096.96999999997</v>
          </cell>
          <cell r="AA191"/>
        </row>
        <row r="192">
          <cell r="C192">
            <v>5020321013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/>
        </row>
        <row r="193">
          <cell r="C193">
            <v>5020321003</v>
          </cell>
          <cell r="D193">
            <v>40720404.609999999</v>
          </cell>
          <cell r="E193">
            <v>0</v>
          </cell>
          <cell r="F193">
            <v>2639093.2000000002</v>
          </cell>
          <cell r="G193">
            <v>0</v>
          </cell>
          <cell r="H193">
            <v>80795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39400</v>
          </cell>
          <cell r="U193">
            <v>728985</v>
          </cell>
          <cell r="V193">
            <v>2759288.2</v>
          </cell>
          <cell r="W193">
            <v>728985</v>
          </cell>
          <cell r="X193">
            <v>43479692.810000002</v>
          </cell>
          <cell r="Y193">
            <v>728985</v>
          </cell>
          <cell r="Z193">
            <v>42750707.810000002</v>
          </cell>
          <cell r="AA193"/>
        </row>
        <row r="194">
          <cell r="C194">
            <v>5020321007</v>
          </cell>
          <cell r="D194">
            <v>1791456.1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12990</v>
          </cell>
          <cell r="U194">
            <v>0</v>
          </cell>
          <cell r="V194">
            <v>12990</v>
          </cell>
          <cell r="W194">
            <v>0</v>
          </cell>
          <cell r="X194">
            <v>1804446.1</v>
          </cell>
          <cell r="Y194">
            <v>0</v>
          </cell>
          <cell r="Z194">
            <v>1804446.1</v>
          </cell>
          <cell r="AA194"/>
        </row>
        <row r="195">
          <cell r="C195">
            <v>5020321001</v>
          </cell>
          <cell r="D195">
            <v>164930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164930</v>
          </cell>
          <cell r="Y195">
            <v>0</v>
          </cell>
          <cell r="Z195">
            <v>164930</v>
          </cell>
          <cell r="AA195"/>
        </row>
        <row r="196">
          <cell r="C196">
            <v>5020321010</v>
          </cell>
          <cell r="D196">
            <v>110468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110468</v>
          </cell>
          <cell r="Y196">
            <v>0</v>
          </cell>
          <cell r="Z196">
            <v>110468</v>
          </cell>
          <cell r="AA196"/>
        </row>
        <row r="197">
          <cell r="C197">
            <v>5020321099</v>
          </cell>
          <cell r="D197">
            <v>1451918.5</v>
          </cell>
          <cell r="E197">
            <v>0</v>
          </cell>
          <cell r="F197">
            <v>89125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89125</v>
          </cell>
          <cell r="W197">
            <v>0</v>
          </cell>
          <cell r="X197">
            <v>1541043.5</v>
          </cell>
          <cell r="Y197">
            <v>0</v>
          </cell>
          <cell r="Z197">
            <v>1541043.5</v>
          </cell>
          <cell r="AA197"/>
        </row>
        <row r="198">
          <cell r="C198">
            <v>5020322001</v>
          </cell>
          <cell r="D198">
            <v>3776023.86</v>
          </cell>
          <cell r="E198">
            <v>0</v>
          </cell>
          <cell r="F198">
            <v>831525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1280293.1499999999</v>
          </cell>
          <cell r="U198">
            <v>0</v>
          </cell>
          <cell r="V198">
            <v>2111818.15</v>
          </cell>
          <cell r="W198">
            <v>0</v>
          </cell>
          <cell r="X198">
            <v>5887842.0099999998</v>
          </cell>
          <cell r="Y198">
            <v>0</v>
          </cell>
          <cell r="Z198">
            <v>5887842.0099999998</v>
          </cell>
          <cell r="AA198"/>
        </row>
        <row r="199">
          <cell r="C199">
            <v>5020401000</v>
          </cell>
          <cell r="D199">
            <v>1635459.6</v>
          </cell>
          <cell r="E199">
            <v>0</v>
          </cell>
          <cell r="F199">
            <v>152224.66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73430.010000000009</v>
          </cell>
          <cell r="U199">
            <v>0</v>
          </cell>
          <cell r="V199">
            <v>225654.67</v>
          </cell>
          <cell r="W199">
            <v>0</v>
          </cell>
          <cell r="X199">
            <v>1861114.27</v>
          </cell>
          <cell r="Y199">
            <v>0</v>
          </cell>
          <cell r="Z199">
            <v>1861114.27</v>
          </cell>
          <cell r="AA199"/>
        </row>
        <row r="200">
          <cell r="C200">
            <v>5020402000</v>
          </cell>
          <cell r="D200">
            <v>9152657.9199999999</v>
          </cell>
          <cell r="E200">
            <v>0</v>
          </cell>
          <cell r="F200">
            <v>605174.38</v>
          </cell>
          <cell r="G200">
            <v>0</v>
          </cell>
          <cell r="H200">
            <v>460921.12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102101.31</v>
          </cell>
          <cell r="U200">
            <v>0</v>
          </cell>
          <cell r="V200">
            <v>1168196.81</v>
          </cell>
          <cell r="W200">
            <v>0</v>
          </cell>
          <cell r="X200">
            <v>10320854.73</v>
          </cell>
          <cell r="Y200">
            <v>0</v>
          </cell>
          <cell r="Z200">
            <v>10320854.73</v>
          </cell>
          <cell r="AA200"/>
        </row>
        <row r="201">
          <cell r="C201">
            <v>5020501000</v>
          </cell>
          <cell r="D201">
            <v>341211</v>
          </cell>
          <cell r="E201">
            <v>0</v>
          </cell>
          <cell r="F201">
            <v>38911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8690</v>
          </cell>
          <cell r="U201">
            <v>0</v>
          </cell>
          <cell r="V201">
            <v>47601</v>
          </cell>
          <cell r="W201">
            <v>0</v>
          </cell>
          <cell r="X201">
            <v>388812</v>
          </cell>
          <cell r="Y201">
            <v>0</v>
          </cell>
          <cell r="Z201">
            <v>388812</v>
          </cell>
          <cell r="AA201"/>
        </row>
        <row r="202">
          <cell r="C202">
            <v>5020502002</v>
          </cell>
          <cell r="D202">
            <v>20223.72</v>
          </cell>
          <cell r="E202">
            <v>0</v>
          </cell>
          <cell r="F202">
            <v>1718.8700000000001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1599</v>
          </cell>
          <cell r="U202">
            <v>0</v>
          </cell>
          <cell r="V202">
            <v>3317.87</v>
          </cell>
          <cell r="W202">
            <v>0</v>
          </cell>
          <cell r="X202">
            <v>23541.59</v>
          </cell>
          <cell r="Y202">
            <v>0</v>
          </cell>
          <cell r="Z202">
            <v>23541.59</v>
          </cell>
          <cell r="AA202"/>
        </row>
        <row r="203">
          <cell r="C203">
            <v>5020502001</v>
          </cell>
          <cell r="D203">
            <v>6674822.8300000001</v>
          </cell>
          <cell r="E203">
            <v>0</v>
          </cell>
          <cell r="F203">
            <v>251840.82</v>
          </cell>
          <cell r="G203">
            <v>0</v>
          </cell>
          <cell r="H203">
            <v>1800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1094300.71</v>
          </cell>
          <cell r="U203">
            <v>68844.849999999991</v>
          </cell>
          <cell r="V203">
            <v>1347941.53</v>
          </cell>
          <cell r="W203">
            <v>68844.849999999991</v>
          </cell>
          <cell r="X203">
            <v>8022764.3600000003</v>
          </cell>
          <cell r="Y203">
            <v>68844.849999999991</v>
          </cell>
          <cell r="Z203">
            <v>7953919.5099999998</v>
          </cell>
          <cell r="AA203"/>
        </row>
        <row r="204">
          <cell r="C204">
            <v>5020503000</v>
          </cell>
          <cell r="D204">
            <v>4434794.29</v>
          </cell>
          <cell r="E204">
            <v>0</v>
          </cell>
          <cell r="F204">
            <v>1294503.04</v>
          </cell>
          <cell r="G204">
            <v>0</v>
          </cell>
          <cell r="H204">
            <v>6000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545190.77</v>
          </cell>
          <cell r="U204">
            <v>0</v>
          </cell>
          <cell r="V204">
            <v>1845693.81</v>
          </cell>
          <cell r="W204">
            <v>0</v>
          </cell>
          <cell r="X204">
            <v>6280488.0999999996</v>
          </cell>
          <cell r="Y204">
            <v>0</v>
          </cell>
          <cell r="Z204">
            <v>6280488.0999999996</v>
          </cell>
          <cell r="AA204"/>
        </row>
        <row r="205">
          <cell r="C205">
            <v>5020504000</v>
          </cell>
          <cell r="D205">
            <v>4281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4281</v>
          </cell>
          <cell r="Y205">
            <v>0</v>
          </cell>
          <cell r="Z205">
            <v>4281</v>
          </cell>
          <cell r="AA205"/>
        </row>
        <row r="206">
          <cell r="C206">
            <v>5029906000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/>
        </row>
        <row r="207">
          <cell r="C207">
            <v>5020601001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100000</v>
          </cell>
          <cell r="U207">
            <v>0</v>
          </cell>
          <cell r="V207">
            <v>100000</v>
          </cell>
          <cell r="W207">
            <v>0</v>
          </cell>
          <cell r="X207">
            <v>100000</v>
          </cell>
          <cell r="Y207">
            <v>0</v>
          </cell>
          <cell r="Z207">
            <v>100000</v>
          </cell>
          <cell r="AA207"/>
        </row>
        <row r="208">
          <cell r="C208">
            <v>5020901002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/>
        </row>
        <row r="209">
          <cell r="C209">
            <v>5020602000</v>
          </cell>
          <cell r="D209">
            <v>11000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11000</v>
          </cell>
          <cell r="Y209">
            <v>0</v>
          </cell>
          <cell r="Z209">
            <v>11000</v>
          </cell>
          <cell r="AA209"/>
        </row>
        <row r="210">
          <cell r="C210">
            <v>5029901000</v>
          </cell>
          <cell r="D210">
            <v>1202863.24</v>
          </cell>
          <cell r="E210">
            <v>0</v>
          </cell>
          <cell r="F210">
            <v>167500</v>
          </cell>
          <cell r="G210">
            <v>0</v>
          </cell>
          <cell r="H210">
            <v>180000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48875</v>
          </cell>
          <cell r="U210">
            <v>0</v>
          </cell>
          <cell r="V210">
            <v>396375</v>
          </cell>
          <cell r="W210">
            <v>0</v>
          </cell>
          <cell r="X210">
            <v>1599238.24</v>
          </cell>
          <cell r="Y210">
            <v>0</v>
          </cell>
          <cell r="Z210">
            <v>1599238.24</v>
          </cell>
          <cell r="AA210"/>
        </row>
        <row r="211">
          <cell r="C211">
            <v>5029902000</v>
          </cell>
          <cell r="D211">
            <v>1143219.3999999999</v>
          </cell>
          <cell r="E211">
            <v>0</v>
          </cell>
          <cell r="F211">
            <v>10875</v>
          </cell>
          <cell r="G211">
            <v>0</v>
          </cell>
          <cell r="H211">
            <v>649853.06000000006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198952.5</v>
          </cell>
          <cell r="U211">
            <v>0</v>
          </cell>
          <cell r="V211">
            <v>859680.56</v>
          </cell>
          <cell r="W211">
            <v>0</v>
          </cell>
          <cell r="X211">
            <v>2002899.96</v>
          </cell>
          <cell r="Y211">
            <v>0</v>
          </cell>
          <cell r="Z211">
            <v>2002899.96</v>
          </cell>
          <cell r="AA211"/>
        </row>
        <row r="212">
          <cell r="C212">
            <v>5029903000</v>
          </cell>
          <cell r="D212">
            <v>8273519.4500000002</v>
          </cell>
          <cell r="E212">
            <v>0</v>
          </cell>
          <cell r="F212">
            <v>2662397.4900000002</v>
          </cell>
          <cell r="G212">
            <v>0</v>
          </cell>
          <cell r="H212">
            <v>777770</v>
          </cell>
          <cell r="I212">
            <v>0</v>
          </cell>
          <cell r="J212">
            <v>21879.8</v>
          </cell>
          <cell r="K212">
            <v>0</v>
          </cell>
          <cell r="L212">
            <v>0</v>
          </cell>
          <cell r="M212">
            <v>0</v>
          </cell>
          <cell r="N212">
            <v>39956.339999999997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1881775</v>
          </cell>
          <cell r="U212">
            <v>0</v>
          </cell>
          <cell r="V212">
            <v>5383778.6299999999</v>
          </cell>
          <cell r="W212">
            <v>0</v>
          </cell>
          <cell r="X212">
            <v>13657298.08</v>
          </cell>
          <cell r="Y212">
            <v>0</v>
          </cell>
          <cell r="Z212">
            <v>13657298.08</v>
          </cell>
          <cell r="AA212"/>
        </row>
        <row r="213">
          <cell r="C213">
            <v>5029904000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497700</v>
          </cell>
          <cell r="U213">
            <v>0</v>
          </cell>
          <cell r="V213">
            <v>497700</v>
          </cell>
          <cell r="W213">
            <v>0</v>
          </cell>
          <cell r="X213">
            <v>497700</v>
          </cell>
          <cell r="Y213">
            <v>0</v>
          </cell>
          <cell r="Z213">
            <v>497700</v>
          </cell>
          <cell r="AA213"/>
        </row>
        <row r="214">
          <cell r="C214">
            <v>5029905001</v>
          </cell>
          <cell r="D214">
            <v>4901769.5999999996</v>
          </cell>
          <cell r="E214">
            <v>0</v>
          </cell>
          <cell r="F214">
            <v>45177.75</v>
          </cell>
          <cell r="G214">
            <v>0</v>
          </cell>
          <cell r="H214">
            <v>127573.7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172751.45</v>
          </cell>
          <cell r="W214">
            <v>0</v>
          </cell>
          <cell r="X214">
            <v>5074521.05</v>
          </cell>
          <cell r="Y214">
            <v>0</v>
          </cell>
          <cell r="Z214">
            <v>5074521.05</v>
          </cell>
          <cell r="AA214"/>
        </row>
        <row r="215">
          <cell r="C215">
            <v>5029905003</v>
          </cell>
          <cell r="D215">
            <v>1828100</v>
          </cell>
          <cell r="E215">
            <v>0</v>
          </cell>
          <cell r="F215">
            <v>6142950</v>
          </cell>
          <cell r="G215">
            <v>0</v>
          </cell>
          <cell r="H215">
            <v>805000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649500</v>
          </cell>
          <cell r="U215">
            <v>0</v>
          </cell>
          <cell r="V215">
            <v>7597450</v>
          </cell>
          <cell r="W215">
            <v>0</v>
          </cell>
          <cell r="X215">
            <v>9425550</v>
          </cell>
          <cell r="Y215">
            <v>0</v>
          </cell>
          <cell r="Z215">
            <v>9425550</v>
          </cell>
          <cell r="AA215"/>
        </row>
        <row r="216">
          <cell r="C216">
            <v>5029905004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/>
        </row>
        <row r="217">
          <cell r="C217">
            <v>5029905005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/>
        </row>
        <row r="218">
          <cell r="C218">
            <v>5029905006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/>
        </row>
        <row r="219">
          <cell r="C219">
            <v>5029905008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/>
        </row>
        <row r="220">
          <cell r="C220">
            <v>5029907000</v>
          </cell>
          <cell r="D220">
            <v>0</v>
          </cell>
          <cell r="E220">
            <v>0</v>
          </cell>
          <cell r="F220">
            <v>603856.54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51425</v>
          </cell>
          <cell r="U220">
            <v>0</v>
          </cell>
          <cell r="V220">
            <v>655281.54</v>
          </cell>
          <cell r="W220">
            <v>0</v>
          </cell>
          <cell r="X220">
            <v>655281.54</v>
          </cell>
          <cell r="Y220">
            <v>0</v>
          </cell>
          <cell r="Z220">
            <v>655281.54</v>
          </cell>
          <cell r="AA220"/>
        </row>
        <row r="221">
          <cell r="C221">
            <v>5029907001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/>
        </row>
        <row r="222">
          <cell r="C222">
            <v>5021101000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/>
        </row>
        <row r="223">
          <cell r="C223">
            <v>5021102000</v>
          </cell>
          <cell r="D223">
            <v>116640</v>
          </cell>
          <cell r="E223">
            <v>0</v>
          </cell>
          <cell r="F223">
            <v>6000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6000</v>
          </cell>
          <cell r="W223">
            <v>0</v>
          </cell>
          <cell r="X223">
            <v>122640</v>
          </cell>
          <cell r="Y223">
            <v>0</v>
          </cell>
          <cell r="Z223">
            <v>122640</v>
          </cell>
          <cell r="AA223"/>
        </row>
        <row r="224">
          <cell r="C224">
            <v>5021103002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/>
        </row>
        <row r="225">
          <cell r="C225">
            <v>5021202000</v>
          </cell>
          <cell r="D225">
            <v>1357354.67</v>
          </cell>
          <cell r="E225">
            <v>0</v>
          </cell>
          <cell r="F225">
            <v>529108.46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345260.24</v>
          </cell>
          <cell r="U225">
            <v>0</v>
          </cell>
          <cell r="V225">
            <v>874368.7</v>
          </cell>
          <cell r="W225">
            <v>0</v>
          </cell>
          <cell r="X225">
            <v>2231723.37</v>
          </cell>
          <cell r="Y225">
            <v>0</v>
          </cell>
          <cell r="Z225">
            <v>2231723.37</v>
          </cell>
          <cell r="AA225"/>
        </row>
        <row r="226">
          <cell r="C226">
            <v>5021203000</v>
          </cell>
          <cell r="D226">
            <v>12583436.5</v>
          </cell>
          <cell r="E226">
            <v>0</v>
          </cell>
          <cell r="F226">
            <v>0</v>
          </cell>
          <cell r="G226">
            <v>0</v>
          </cell>
          <cell r="H226">
            <v>1454774.1099999999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724577.4</v>
          </cell>
          <cell r="U226">
            <v>0</v>
          </cell>
          <cell r="V226">
            <v>2179351.5099999998</v>
          </cell>
          <cell r="W226">
            <v>0</v>
          </cell>
          <cell r="X226">
            <v>14762788.01</v>
          </cell>
          <cell r="Y226">
            <v>0</v>
          </cell>
          <cell r="Z226">
            <v>14762788.01</v>
          </cell>
          <cell r="AA226"/>
        </row>
        <row r="227">
          <cell r="C227">
            <v>5021199000</v>
          </cell>
          <cell r="D227">
            <v>274713480.23000002</v>
          </cell>
          <cell r="E227">
            <v>0</v>
          </cell>
          <cell r="F227">
            <v>35080882.219999999</v>
          </cell>
          <cell r="G227">
            <v>58626.13</v>
          </cell>
          <cell r="H227">
            <v>3159734.4999999995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16829.5</v>
          </cell>
          <cell r="T227">
            <v>7806412.830000001</v>
          </cell>
          <cell r="U227">
            <v>0</v>
          </cell>
          <cell r="V227">
            <v>46047029.549999997</v>
          </cell>
          <cell r="W227">
            <v>75455.63</v>
          </cell>
          <cell r="X227">
            <v>320760509.78000003</v>
          </cell>
          <cell r="Y227">
            <v>75455.63</v>
          </cell>
          <cell r="Z227">
            <v>320685054.14999998</v>
          </cell>
          <cell r="AA227"/>
        </row>
        <row r="228">
          <cell r="C228">
            <v>5021299000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/>
        </row>
        <row r="229">
          <cell r="C229">
            <v>5021304001</v>
          </cell>
          <cell r="D229">
            <v>7912089.4400000004</v>
          </cell>
          <cell r="E229">
            <v>0</v>
          </cell>
          <cell r="F229">
            <v>942765.57</v>
          </cell>
          <cell r="G229">
            <v>0</v>
          </cell>
          <cell r="H229">
            <v>543132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249755.2</v>
          </cell>
          <cell r="U229">
            <v>0</v>
          </cell>
          <cell r="V229">
            <v>1735652.7699999998</v>
          </cell>
          <cell r="W229">
            <v>0</v>
          </cell>
          <cell r="X229">
            <v>9647742.2100000009</v>
          </cell>
          <cell r="Y229">
            <v>0</v>
          </cell>
          <cell r="Z229">
            <v>9647742.2100000009</v>
          </cell>
          <cell r="AA229"/>
        </row>
        <row r="230">
          <cell r="C230">
            <v>5021304006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/>
        </row>
        <row r="231">
          <cell r="C231">
            <v>5021304099</v>
          </cell>
          <cell r="D231">
            <v>1308999.58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1308999.58</v>
          </cell>
          <cell r="Y231">
            <v>0</v>
          </cell>
          <cell r="Z231">
            <v>1308999.58</v>
          </cell>
          <cell r="AA231"/>
        </row>
        <row r="232">
          <cell r="C232">
            <v>5021309000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/>
        </row>
        <row r="233">
          <cell r="C233">
            <v>5021307000</v>
          </cell>
          <cell r="D233">
            <v>1338</v>
          </cell>
          <cell r="E233">
            <v>0</v>
          </cell>
          <cell r="F233">
            <v>1769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1769</v>
          </cell>
          <cell r="W233">
            <v>0</v>
          </cell>
          <cell r="X233">
            <v>3107</v>
          </cell>
          <cell r="Y233">
            <v>0</v>
          </cell>
          <cell r="Z233">
            <v>3107</v>
          </cell>
          <cell r="AA233"/>
        </row>
        <row r="234">
          <cell r="C234">
            <v>5021305001</v>
          </cell>
          <cell r="D234">
            <v>2507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2507</v>
          </cell>
          <cell r="Y234">
            <v>0</v>
          </cell>
          <cell r="Z234">
            <v>2507</v>
          </cell>
          <cell r="AA234"/>
        </row>
        <row r="235">
          <cell r="C235">
            <v>5021305002</v>
          </cell>
          <cell r="D235">
            <v>0</v>
          </cell>
          <cell r="E235">
            <v>0</v>
          </cell>
          <cell r="F235">
            <v>1080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1080</v>
          </cell>
          <cell r="W235">
            <v>0</v>
          </cell>
          <cell r="X235">
            <v>1080</v>
          </cell>
          <cell r="Y235">
            <v>0</v>
          </cell>
          <cell r="Z235">
            <v>1080</v>
          </cell>
          <cell r="AA235"/>
        </row>
        <row r="236">
          <cell r="C236">
            <v>5021305003</v>
          </cell>
          <cell r="D236">
            <v>135000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135000</v>
          </cell>
          <cell r="Y236">
            <v>0</v>
          </cell>
          <cell r="Z236">
            <v>135000</v>
          </cell>
          <cell r="AA236"/>
        </row>
        <row r="237">
          <cell r="C237">
            <v>5021305007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/>
        </row>
        <row r="238">
          <cell r="C238">
            <v>5021305099</v>
          </cell>
          <cell r="D238">
            <v>1016723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1016723</v>
          </cell>
          <cell r="Y238">
            <v>0</v>
          </cell>
          <cell r="Z238">
            <v>1016723</v>
          </cell>
          <cell r="AA238"/>
        </row>
        <row r="239">
          <cell r="C239">
            <v>5021306001</v>
          </cell>
          <cell r="D239">
            <v>3324478.7</v>
          </cell>
          <cell r="E239">
            <v>0</v>
          </cell>
          <cell r="F239">
            <v>676961.05999999994</v>
          </cell>
          <cell r="G239">
            <v>0</v>
          </cell>
          <cell r="H239">
            <v>165281.74000000002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1538971.2899999998</v>
          </cell>
          <cell r="U239">
            <v>0</v>
          </cell>
          <cell r="V239">
            <v>2381214.09</v>
          </cell>
          <cell r="W239">
            <v>0</v>
          </cell>
          <cell r="X239">
            <v>5705692.79</v>
          </cell>
          <cell r="Y239">
            <v>0</v>
          </cell>
          <cell r="Z239">
            <v>5705692.79</v>
          </cell>
          <cell r="AA239"/>
        </row>
        <row r="240">
          <cell r="C240">
            <v>5021399099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/>
        </row>
        <row r="241">
          <cell r="C241">
            <v>5029908000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/>
        </row>
        <row r="242">
          <cell r="C242">
            <v>5021402000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/>
        </row>
        <row r="243">
          <cell r="C243">
            <v>5021403000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/>
        </row>
        <row r="244">
          <cell r="C244">
            <v>5021405000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/>
        </row>
        <row r="245">
          <cell r="C245">
            <v>5021499000</v>
          </cell>
          <cell r="D245">
            <v>5855849995.8400002</v>
          </cell>
          <cell r="E245">
            <v>0</v>
          </cell>
          <cell r="F245">
            <v>206146652.78000009</v>
          </cell>
          <cell r="G245">
            <v>0</v>
          </cell>
          <cell r="H245">
            <v>5125300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872940092.58999991</v>
          </cell>
          <cell r="O245">
            <v>5000</v>
          </cell>
          <cell r="P245">
            <v>220600808.81999999</v>
          </cell>
          <cell r="Q245">
            <v>0</v>
          </cell>
          <cell r="R245">
            <v>0</v>
          </cell>
          <cell r="S245">
            <v>0</v>
          </cell>
          <cell r="T245">
            <v>210730574.97999996</v>
          </cell>
          <cell r="U245">
            <v>0</v>
          </cell>
          <cell r="V245">
            <v>1515543429.1699998</v>
          </cell>
          <cell r="W245">
            <v>5000</v>
          </cell>
          <cell r="X245">
            <v>7371393425.0100002</v>
          </cell>
          <cell r="Y245">
            <v>5000</v>
          </cell>
          <cell r="Z245">
            <v>7371388425.0100002</v>
          </cell>
          <cell r="AA245"/>
        </row>
        <row r="246">
          <cell r="C246">
            <v>5021407000</v>
          </cell>
          <cell r="D246">
            <v>24573473.57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24573473.57</v>
          </cell>
          <cell r="Y246">
            <v>0</v>
          </cell>
          <cell r="Z246">
            <v>24573473.57</v>
          </cell>
          <cell r="AA246"/>
        </row>
        <row r="247">
          <cell r="C247">
            <v>5030104000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/>
        </row>
        <row r="248">
          <cell r="C248">
            <v>5030199000</v>
          </cell>
          <cell r="D248">
            <v>200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200</v>
          </cell>
          <cell r="Y248">
            <v>0</v>
          </cell>
          <cell r="Z248">
            <v>200</v>
          </cell>
          <cell r="AA248"/>
        </row>
        <row r="249">
          <cell r="C249">
            <v>5021003000</v>
          </cell>
          <cell r="D249">
            <v>124300</v>
          </cell>
          <cell r="E249">
            <v>0</v>
          </cell>
          <cell r="F249">
            <v>11300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11300</v>
          </cell>
          <cell r="W249">
            <v>0</v>
          </cell>
          <cell r="X249">
            <v>135600</v>
          </cell>
          <cell r="Y249">
            <v>0</v>
          </cell>
          <cell r="Z249">
            <v>135600</v>
          </cell>
          <cell r="AA249"/>
        </row>
        <row r="250">
          <cell r="C250">
            <v>5021502000</v>
          </cell>
          <cell r="D250">
            <v>2678724.66</v>
          </cell>
          <cell r="E250">
            <v>0</v>
          </cell>
          <cell r="F250">
            <v>232500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232500</v>
          </cell>
          <cell r="W250">
            <v>0</v>
          </cell>
          <cell r="X250">
            <v>2911224.66</v>
          </cell>
          <cell r="Y250">
            <v>0</v>
          </cell>
          <cell r="Z250">
            <v>2911224.66</v>
          </cell>
          <cell r="AA250"/>
        </row>
        <row r="251">
          <cell r="C251">
            <v>5021503000</v>
          </cell>
          <cell r="D251">
            <v>1757189.85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1757189.85</v>
          </cell>
          <cell r="Y251">
            <v>0</v>
          </cell>
          <cell r="Z251">
            <v>1757189.85</v>
          </cell>
          <cell r="AA251"/>
        </row>
        <row r="252">
          <cell r="C252">
            <v>5021601000</v>
          </cell>
          <cell r="D252">
            <v>1412979.61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43800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43800</v>
          </cell>
          <cell r="W252">
            <v>0</v>
          </cell>
          <cell r="X252">
            <v>1456779.61</v>
          </cell>
          <cell r="Y252">
            <v>0</v>
          </cell>
          <cell r="Z252">
            <v>1456779.61</v>
          </cell>
          <cell r="AA252"/>
        </row>
        <row r="253">
          <cell r="C253">
            <v>5050201002</v>
          </cell>
          <cell r="D253">
            <v>94757.759999999995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94757.759999999995</v>
          </cell>
          <cell r="Y253">
            <v>0</v>
          </cell>
          <cell r="Z253">
            <v>94757.759999999995</v>
          </cell>
          <cell r="AA253"/>
        </row>
        <row r="254">
          <cell r="C254">
            <v>5050102099</v>
          </cell>
          <cell r="D254">
            <v>33202.5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33202.5</v>
          </cell>
          <cell r="Y254">
            <v>0</v>
          </cell>
          <cell r="Z254">
            <v>33202.5</v>
          </cell>
          <cell r="AA254"/>
        </row>
        <row r="255">
          <cell r="C255">
            <v>5050108002</v>
          </cell>
          <cell r="D255">
            <v>12255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12255</v>
          </cell>
          <cell r="Y255">
            <v>0</v>
          </cell>
          <cell r="Z255">
            <v>12255</v>
          </cell>
          <cell r="AA255"/>
        </row>
        <row r="256">
          <cell r="C256">
            <v>5050104001</v>
          </cell>
          <cell r="D256">
            <v>2894033.07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1170466.72</v>
          </cell>
          <cell r="U256">
            <v>0</v>
          </cell>
          <cell r="V256">
            <v>1170466.72</v>
          </cell>
          <cell r="W256">
            <v>0</v>
          </cell>
          <cell r="X256">
            <v>4064499.79</v>
          </cell>
          <cell r="Y256">
            <v>0</v>
          </cell>
          <cell r="Z256">
            <v>4064499.79</v>
          </cell>
          <cell r="AA256"/>
        </row>
        <row r="257">
          <cell r="C257">
            <v>5050104099</v>
          </cell>
          <cell r="D257">
            <v>1104103.48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384562.06</v>
          </cell>
          <cell r="U257">
            <v>0</v>
          </cell>
          <cell r="V257">
            <v>384562.06</v>
          </cell>
          <cell r="W257">
            <v>0</v>
          </cell>
          <cell r="X257">
            <v>1488665.54</v>
          </cell>
          <cell r="Y257">
            <v>0</v>
          </cell>
          <cell r="Z257">
            <v>1488665.54</v>
          </cell>
          <cell r="AA257"/>
        </row>
        <row r="258">
          <cell r="C258">
            <v>5050107001</v>
          </cell>
          <cell r="D258">
            <v>33901.47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9975</v>
          </cell>
          <cell r="U258">
            <v>0</v>
          </cell>
          <cell r="V258">
            <v>9975</v>
          </cell>
          <cell r="W258">
            <v>0</v>
          </cell>
          <cell r="X258">
            <v>43876.47</v>
          </cell>
          <cell r="Y258">
            <v>0</v>
          </cell>
          <cell r="Z258">
            <v>43876.47</v>
          </cell>
          <cell r="AA258"/>
        </row>
        <row r="259">
          <cell r="C259">
            <v>5050107002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/>
        </row>
        <row r="260">
          <cell r="C260">
            <v>5050105002</v>
          </cell>
          <cell r="D260">
            <v>682006.79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167312.89000000001</v>
          </cell>
          <cell r="U260">
            <v>0</v>
          </cell>
          <cell r="V260">
            <v>167312.89000000001</v>
          </cell>
          <cell r="W260">
            <v>0</v>
          </cell>
          <cell r="X260">
            <v>849319.68</v>
          </cell>
          <cell r="Y260">
            <v>0</v>
          </cell>
          <cell r="Z260">
            <v>849319.68</v>
          </cell>
          <cell r="AA260"/>
        </row>
        <row r="261">
          <cell r="C261">
            <v>5050105003</v>
          </cell>
          <cell r="D261">
            <v>4827986.6500000004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2646821.48</v>
          </cell>
          <cell r="U261">
            <v>0</v>
          </cell>
          <cell r="V261">
            <v>2646821.48</v>
          </cell>
          <cell r="W261">
            <v>0</v>
          </cell>
          <cell r="X261">
            <v>7474808.1300000008</v>
          </cell>
          <cell r="Y261">
            <v>0</v>
          </cell>
          <cell r="Z261">
            <v>7474808.1299999999</v>
          </cell>
          <cell r="AA261"/>
        </row>
        <row r="262">
          <cell r="C262">
            <v>5050105007</v>
          </cell>
          <cell r="D262">
            <v>1116381.03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372127.02</v>
          </cell>
          <cell r="U262">
            <v>0</v>
          </cell>
          <cell r="V262">
            <v>372127.02</v>
          </cell>
          <cell r="W262">
            <v>0</v>
          </cell>
          <cell r="X262">
            <v>1488508.05</v>
          </cell>
          <cell r="Y262">
            <v>0</v>
          </cell>
          <cell r="Z262">
            <v>1488508.05</v>
          </cell>
          <cell r="AA262"/>
        </row>
        <row r="263">
          <cell r="C263">
            <v>5050105009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/>
        </row>
        <row r="264">
          <cell r="C264">
            <v>5050105011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/>
        </row>
        <row r="265">
          <cell r="C265">
            <v>5050105013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/>
        </row>
        <row r="266">
          <cell r="C266">
            <v>5050105014</v>
          </cell>
          <cell r="D266">
            <v>11728.62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10084.540000000001</v>
          </cell>
          <cell r="U266">
            <v>0</v>
          </cell>
          <cell r="V266">
            <v>10084.540000000001</v>
          </cell>
          <cell r="W266">
            <v>0</v>
          </cell>
          <cell r="X266">
            <v>21813.160000000003</v>
          </cell>
          <cell r="Y266">
            <v>0</v>
          </cell>
          <cell r="Z266">
            <v>21813.16</v>
          </cell>
          <cell r="AA266"/>
        </row>
        <row r="267">
          <cell r="C267">
            <v>5050105099</v>
          </cell>
          <cell r="D267">
            <v>188023.59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62674.53</v>
          </cell>
          <cell r="U267">
            <v>0</v>
          </cell>
          <cell r="V267">
            <v>62674.53</v>
          </cell>
          <cell r="W267">
            <v>0</v>
          </cell>
          <cell r="X267">
            <v>250698.12</v>
          </cell>
          <cell r="Y267">
            <v>0</v>
          </cell>
          <cell r="Z267">
            <v>250698.12</v>
          </cell>
          <cell r="AA267"/>
        </row>
        <row r="268">
          <cell r="C268">
            <v>5050106001</v>
          </cell>
          <cell r="D268">
            <v>2183219.9300000002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1087016.22</v>
          </cell>
          <cell r="U268">
            <v>0</v>
          </cell>
          <cell r="V268">
            <v>1087016.22</v>
          </cell>
          <cell r="W268">
            <v>0</v>
          </cell>
          <cell r="X268">
            <v>3270236.1500000004</v>
          </cell>
          <cell r="Y268">
            <v>0</v>
          </cell>
          <cell r="Z268">
            <v>3270236.15</v>
          </cell>
          <cell r="AA268"/>
        </row>
        <row r="269">
          <cell r="C269">
            <v>5050199099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/>
        </row>
        <row r="270">
          <cell r="C270">
            <v>5029999099</v>
          </cell>
          <cell r="D270">
            <v>4844254.04</v>
          </cell>
          <cell r="E270">
            <v>0</v>
          </cell>
          <cell r="F270">
            <v>990589.30999999994</v>
          </cell>
          <cell r="G270">
            <v>0</v>
          </cell>
          <cell r="H270">
            <v>177117.83000000002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903712.39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826544.48</v>
          </cell>
          <cell r="U270">
            <v>0</v>
          </cell>
          <cell r="V270">
            <v>2897964.01</v>
          </cell>
          <cell r="W270">
            <v>0</v>
          </cell>
          <cell r="X270">
            <v>7742218.0499999998</v>
          </cell>
          <cell r="Y270">
            <v>0</v>
          </cell>
          <cell r="Z270">
            <v>7742218.0499999998</v>
          </cell>
          <cell r="AA270"/>
        </row>
        <row r="271">
          <cell r="C271">
            <v>5050409000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/>
        </row>
        <row r="272">
          <cell r="C272">
            <v>5050404000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368530.6</v>
          </cell>
          <cell r="U272">
            <v>0</v>
          </cell>
          <cell r="V272">
            <v>368530.6</v>
          </cell>
          <cell r="W272">
            <v>0</v>
          </cell>
          <cell r="X272">
            <v>368530.6</v>
          </cell>
          <cell r="Y272">
            <v>0</v>
          </cell>
          <cell r="Z272">
            <v>368530.6</v>
          </cell>
          <cell r="AA272"/>
        </row>
        <row r="273">
          <cell r="C273">
            <v>5050307000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571033.5</v>
          </cell>
          <cell r="U273">
            <v>0</v>
          </cell>
          <cell r="V273">
            <v>571033.5</v>
          </cell>
          <cell r="W273">
            <v>0</v>
          </cell>
          <cell r="X273">
            <v>571033.5</v>
          </cell>
          <cell r="Y273">
            <v>0</v>
          </cell>
          <cell r="Z273">
            <v>571033.5</v>
          </cell>
          <cell r="AA273"/>
        </row>
        <row r="274">
          <cell r="C274">
            <v>5050309000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20463.669999999998</v>
          </cell>
          <cell r="U274">
            <v>0</v>
          </cell>
          <cell r="V274">
            <v>20463.669999999998</v>
          </cell>
          <cell r="W274">
            <v>0</v>
          </cell>
          <cell r="X274">
            <v>20463.669999999998</v>
          </cell>
          <cell r="Y274">
            <v>0</v>
          </cell>
          <cell r="Z274">
            <v>20463.669999999998</v>
          </cell>
          <cell r="AA274"/>
        </row>
        <row r="275">
          <cell r="C275">
            <v>5060401000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/>
        </row>
        <row r="276">
          <cell r="C276">
            <v>5050499000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/>
        </row>
        <row r="277">
          <cell r="Z277">
            <v>10457564078.450001</v>
          </cell>
          <cell r="AA277">
            <v>10457564078.450001</v>
          </cell>
          <cell r="AB277">
            <v>1057685258.4000002</v>
          </cell>
          <cell r="AC277">
            <v>1057685258.4000006</v>
          </cell>
        </row>
      </sheetData>
      <sheetData sheetId="2"/>
      <sheetData sheetId="3"/>
      <sheetData sheetId="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2">
          <cell r="AC122">
            <v>2168885967.04</v>
          </cell>
        </row>
        <row r="269">
          <cell r="AB269">
            <v>2664153588.2799997</v>
          </cell>
        </row>
      </sheetData>
      <sheetData sheetId="2"/>
      <sheetData sheetId="3"/>
      <sheetData sheetId="4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CONSO BOAS 2023 (FC1,2,3,4,7)"/>
      <sheetName val="FC1 2024"/>
      <sheetName val="Sheet1"/>
      <sheetName val="Sheet5"/>
      <sheetName val="WORKING PAPER FC1"/>
      <sheetName val="FC2"/>
      <sheetName val="FC 3 2024"/>
      <sheetName val="FC 4 DECEMBER"/>
      <sheetName val="FC 6 DECEMBER"/>
      <sheetName val=" FC 7 2024"/>
      <sheetName val=" FC 7 "/>
    </sheetNames>
    <sheetDataSet>
      <sheetData sheetId="0"/>
      <sheetData sheetId="1"/>
      <sheetData sheetId="2">
        <row r="17">
          <cell r="I17">
            <v>611410.03</v>
          </cell>
          <cell r="O17">
            <v>611410.03</v>
          </cell>
        </row>
        <row r="22">
          <cell r="I22">
            <v>4398.93</v>
          </cell>
          <cell r="O22">
            <v>4398.93</v>
          </cell>
        </row>
        <row r="23">
          <cell r="I23">
            <v>3710760.2800000003</v>
          </cell>
          <cell r="O23">
            <v>3710760.2800000003</v>
          </cell>
        </row>
        <row r="24">
          <cell r="I24">
            <v>10697910.699999999</v>
          </cell>
          <cell r="O24">
            <v>10697910.699999999</v>
          </cell>
        </row>
        <row r="26">
          <cell r="I26">
            <v>1598565.04</v>
          </cell>
          <cell r="O26">
            <v>1598565.04</v>
          </cell>
        </row>
        <row r="27">
          <cell r="I27">
            <v>5053364.0600000005</v>
          </cell>
          <cell r="O27">
            <v>5053364.0600000005</v>
          </cell>
        </row>
        <row r="28">
          <cell r="I28">
            <v>21485</v>
          </cell>
          <cell r="O28">
            <v>21485</v>
          </cell>
        </row>
        <row r="30">
          <cell r="I30">
            <v>299996.90000000002</v>
          </cell>
          <cell r="O30">
            <v>299996.90000000002</v>
          </cell>
        </row>
        <row r="31">
          <cell r="I31">
            <v>4713240.07</v>
          </cell>
          <cell r="O31">
            <v>4713240.07</v>
          </cell>
        </row>
        <row r="32">
          <cell r="I32">
            <v>357983342.94999993</v>
          </cell>
          <cell r="O32">
            <v>357983342.94999993</v>
          </cell>
        </row>
        <row r="33">
          <cell r="I33">
            <v>226682583.98000002</v>
          </cell>
          <cell r="O33">
            <v>226682583.98000002</v>
          </cell>
        </row>
        <row r="35">
          <cell r="I35">
            <v>390088.68916663527</v>
          </cell>
          <cell r="O35">
            <v>390088.68916663527</v>
          </cell>
        </row>
        <row r="36">
          <cell r="I36">
            <v>55368.6</v>
          </cell>
          <cell r="O36">
            <v>55368.6</v>
          </cell>
        </row>
        <row r="38">
          <cell r="I38">
            <v>180585</v>
          </cell>
          <cell r="O38">
            <v>180585</v>
          </cell>
        </row>
        <row r="39">
          <cell r="I39">
            <v>17400</v>
          </cell>
          <cell r="O39">
            <v>17400</v>
          </cell>
        </row>
        <row r="41">
          <cell r="I41">
            <v>244024.76</v>
          </cell>
          <cell r="O41">
            <v>244024.76</v>
          </cell>
        </row>
        <row r="43">
          <cell r="I43">
            <v>932772.83</v>
          </cell>
          <cell r="O43">
            <v>932772.83</v>
          </cell>
        </row>
        <row r="44">
          <cell r="I44">
            <v>711378.53</v>
          </cell>
          <cell r="O44">
            <v>711378.53</v>
          </cell>
        </row>
        <row r="46">
          <cell r="I46">
            <v>130787.76999999999</v>
          </cell>
          <cell r="O46">
            <v>130787.76999999999</v>
          </cell>
        </row>
        <row r="48">
          <cell r="I48">
            <v>185146</v>
          </cell>
          <cell r="O48">
            <v>185146</v>
          </cell>
        </row>
        <row r="51">
          <cell r="I51">
            <v>147895</v>
          </cell>
          <cell r="O51">
            <v>147895</v>
          </cell>
        </row>
        <row r="53">
          <cell r="I53">
            <v>106764.70000000001</v>
          </cell>
          <cell r="O53">
            <v>106764.70000000001</v>
          </cell>
        </row>
        <row r="56">
          <cell r="I56">
            <v>2906.83</v>
          </cell>
          <cell r="O56">
            <v>2906.83</v>
          </cell>
        </row>
        <row r="57">
          <cell r="I57">
            <v>997388.45</v>
          </cell>
          <cell r="O57">
            <v>997388.45</v>
          </cell>
        </row>
        <row r="58">
          <cell r="I58">
            <v>452233.93</v>
          </cell>
          <cell r="O58">
            <v>452233.93</v>
          </cell>
        </row>
        <row r="63">
          <cell r="I63">
            <v>832627</v>
          </cell>
          <cell r="O63">
            <v>832627</v>
          </cell>
        </row>
        <row r="65">
          <cell r="I65">
            <v>48185</v>
          </cell>
          <cell r="O65">
            <v>48185</v>
          </cell>
        </row>
        <row r="70">
          <cell r="I70">
            <v>62406</v>
          </cell>
          <cell r="O70">
            <v>62406</v>
          </cell>
        </row>
        <row r="74">
          <cell r="I74">
            <v>234887.5</v>
          </cell>
          <cell r="O74">
            <v>234887.5</v>
          </cell>
        </row>
        <row r="81">
          <cell r="J81">
            <v>13200</v>
          </cell>
          <cell r="N81">
            <v>13200</v>
          </cell>
        </row>
        <row r="82">
          <cell r="J82">
            <v>240785</v>
          </cell>
          <cell r="N82">
            <v>240785</v>
          </cell>
        </row>
        <row r="83">
          <cell r="J83">
            <v>433124.75</v>
          </cell>
          <cell r="N83">
            <v>433124.75</v>
          </cell>
        </row>
        <row r="84">
          <cell r="J84">
            <v>1698217.3299999998</v>
          </cell>
          <cell r="N84">
            <v>1698217.3299999998</v>
          </cell>
        </row>
        <row r="85">
          <cell r="J85">
            <v>191795.36000000002</v>
          </cell>
          <cell r="N85">
            <v>191795.36000000002</v>
          </cell>
        </row>
        <row r="86">
          <cell r="J86">
            <v>8193363.879999999</v>
          </cell>
          <cell r="N86">
            <v>8193363.879999999</v>
          </cell>
        </row>
        <row r="87">
          <cell r="J87">
            <v>9774.39</v>
          </cell>
          <cell r="N87">
            <v>9774.39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 BOAS 2023 (FC1,2,3,4,7)"/>
      <sheetName val="WORKING PAPER FC1"/>
      <sheetName val="FC2"/>
      <sheetName val="CONSO 2024 FC 1, 2, 3, 7"/>
      <sheetName val="FC1 2024"/>
      <sheetName val="FC 3 2024"/>
      <sheetName val=" FC 7 2024"/>
      <sheetName val="FC 4 DECEMBER"/>
      <sheetName val="FC 6 DECEMBER"/>
      <sheetName val=" FC 7 "/>
    </sheetNames>
    <sheetDataSet>
      <sheetData sheetId="0"/>
      <sheetData sheetId="1">
        <row r="10">
          <cell r="BP10">
            <v>2193484.0999999996</v>
          </cell>
        </row>
        <row r="13">
          <cell r="BP13">
            <v>1145846.9800000002</v>
          </cell>
        </row>
      </sheetData>
      <sheetData sheetId="2"/>
      <sheetData sheetId="3"/>
      <sheetData sheetId="4">
        <row r="128">
          <cell r="S128">
            <v>3770864.1359999981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 BOAS 2023 (FC1,2,3,4,7)"/>
      <sheetName val="FC1 2024"/>
      <sheetName val="WORKING PAPER FC1"/>
      <sheetName val="FC2"/>
      <sheetName val="FC 3 2024"/>
      <sheetName val="FC 4 DECEMBER"/>
      <sheetName val="FC 6 DECEMBER"/>
      <sheetName val=" FC 7 2024"/>
      <sheetName val=" FC 7 "/>
    </sheetNames>
    <sheetDataSet>
      <sheetData sheetId="0"/>
      <sheetData sheetId="1">
        <row r="105">
          <cell r="G105">
            <v>11383651.68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-DEC"/>
      <sheetName val="FC1CSFP-DEC"/>
      <sheetName val="FC1SFP-DEC"/>
      <sheetName val="FC1CIS-DEC"/>
      <sheetName val="FC1DIS-DEC"/>
      <sheetName val="FC1-Post TB"/>
      <sheetName val="FC1-Pre TB"/>
    </sheetNames>
    <sheetDataSet>
      <sheetData sheetId="0"/>
      <sheetData sheetId="1"/>
      <sheetData sheetId="2"/>
      <sheetData sheetId="3"/>
      <sheetData sheetId="4">
        <row r="194">
          <cell r="H194">
            <v>1068071292.0881438</v>
          </cell>
        </row>
        <row r="209">
          <cell r="H209">
            <v>1164150902.1500001</v>
          </cell>
        </row>
      </sheetData>
      <sheetData sheetId="5"/>
      <sheetData sheetId="6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Conso"/>
      <sheetName val="FC1 JUNE"/>
      <sheetName val="FC2"/>
      <sheetName val="FC 4 June"/>
      <sheetName val="FC 6 June"/>
      <sheetName val=" FC 7 "/>
      <sheetName val=" FC 7 June"/>
    </sheetNames>
    <sheetDataSet>
      <sheetData sheetId="0"/>
      <sheetData sheetId="1"/>
      <sheetData sheetId="2">
        <row r="15">
          <cell r="F15">
            <v>558064142.11898708</v>
          </cell>
          <cell r="G15">
            <v>2900078.48</v>
          </cell>
          <cell r="K15">
            <v>3505986.23</v>
          </cell>
          <cell r="L15">
            <v>558109442.11898708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"/>
    </sheetNames>
    <sheetDataSet>
      <sheetData sheetId="0">
        <row r="458">
          <cell r="F458">
            <v>8053582174.9799995</v>
          </cell>
          <cell r="G458">
            <v>8053582174.9799995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2">
          <cell r="AC122">
            <v>1380354999.5010128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WORKING PAPER"/>
    </sheetNames>
    <sheetDataSet>
      <sheetData sheetId="0"/>
      <sheetData sheetId="1">
        <row r="118">
          <cell r="V118">
            <v>278759025.00999999</v>
          </cell>
          <cell r="W118">
            <v>1001422.6300000002</v>
          </cell>
        </row>
      </sheetData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WORKING PAPER"/>
    </sheetNames>
    <sheetDataSet>
      <sheetData sheetId="0"/>
      <sheetData sheetId="1">
        <row r="118">
          <cell r="V118">
            <v>286572631.13999999</v>
          </cell>
          <cell r="W118">
            <v>63339.76</v>
          </cell>
        </row>
      </sheetData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WORKING PAPER"/>
    </sheetNames>
    <sheetDataSet>
      <sheetData sheetId="0"/>
      <sheetData sheetId="1">
        <row r="118">
          <cell r="V118">
            <v>19139521.989999998</v>
          </cell>
          <cell r="W118">
            <v>2081010.53</v>
          </cell>
        </row>
      </sheetData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2">
          <cell r="F122">
            <v>810550</v>
          </cell>
          <cell r="H122">
            <v>2692555.04</v>
          </cell>
          <cell r="N122">
            <v>13608900</v>
          </cell>
          <cell r="P122">
            <v>7082693.3999999994</v>
          </cell>
          <cell r="Q122">
            <v>18000</v>
          </cell>
          <cell r="T122">
            <v>49587048.478987023</v>
          </cell>
        </row>
      </sheetData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2">
          <cell r="F122">
            <v>2728859</v>
          </cell>
          <cell r="G122">
            <v>2900</v>
          </cell>
          <cell r="H122">
            <v>1746773.25</v>
          </cell>
          <cell r="I122">
            <v>9915.5499999999993</v>
          </cell>
          <cell r="N122">
            <v>8457088.1500000004</v>
          </cell>
          <cell r="O122">
            <v>1057600</v>
          </cell>
          <cell r="P122">
            <v>15605574.75</v>
          </cell>
          <cell r="S122">
            <v>3200</v>
          </cell>
          <cell r="T122">
            <v>8037254.1299999999</v>
          </cell>
        </row>
      </sheetData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2">
          <cell r="V122">
            <v>127341994.17000002</v>
          </cell>
          <cell r="W122">
            <v>465797.54</v>
          </cell>
        </row>
      </sheetData>
      <sheetData sheetId="2"/>
      <sheetData sheetId="3"/>
      <sheetData sheetId="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2">
          <cell r="V122">
            <v>120257028.77999999</v>
          </cell>
          <cell r="W122">
            <v>1137066.5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N39"/>
  <sheetViews>
    <sheetView tabSelected="1" view="pageBreakPreview" zoomScaleNormal="100" zoomScaleSheetLayoutView="100" workbookViewId="0">
      <pane ySplit="9" topLeftCell="A10" activePane="bottomLeft" state="frozen"/>
      <selection activeCell="N15" sqref="N15"/>
      <selection pane="bottomLeft" activeCell="N22" sqref="N22"/>
    </sheetView>
  </sheetViews>
  <sheetFormatPr defaultRowHeight="16.5" x14ac:dyDescent="0.3"/>
  <cols>
    <col min="1" max="5" width="9.140625" style="1"/>
    <col min="6" max="6" width="2.5703125" style="1" customWidth="1"/>
    <col min="7" max="7" width="15.140625" style="1" bestFit="1" customWidth="1"/>
    <col min="8" max="8" width="3.7109375" style="1" customWidth="1"/>
    <col min="9" max="9" width="3.28515625" style="1" customWidth="1"/>
    <col min="10" max="10" width="28.28515625" style="1" customWidth="1"/>
    <col min="11" max="11" width="2.7109375" style="38" customWidth="1"/>
    <col min="12" max="14" width="21.28515625" style="42" customWidth="1"/>
    <col min="15" max="15" width="17.5703125" style="38" hidden="1" customWidth="1"/>
    <col min="16" max="16" width="25.140625" style="38" hidden="1" customWidth="1"/>
    <col min="17" max="17" width="34.5703125" style="123" hidden="1" customWidth="1"/>
    <col min="18" max="19" width="9.140625" style="38" hidden="1" customWidth="1"/>
    <col min="20" max="20" width="15.140625" style="38" hidden="1" customWidth="1"/>
    <col min="21" max="21" width="15.85546875" style="38" hidden="1" customWidth="1"/>
    <col min="22" max="24" width="14.28515625" style="38" hidden="1" customWidth="1"/>
    <col min="25" max="25" width="16.85546875" style="38" hidden="1" customWidth="1"/>
    <col min="26" max="26" width="16.7109375" style="38" hidden="1" customWidth="1"/>
    <col min="27" max="27" width="17.85546875" style="38" hidden="1" customWidth="1"/>
    <col min="28" max="28" width="18.140625" style="38" hidden="1" customWidth="1"/>
    <col min="29" max="29" width="19.7109375" style="38" hidden="1" customWidth="1"/>
    <col min="30" max="30" width="9.140625" style="38" hidden="1" customWidth="1"/>
    <col min="31" max="31" width="17" style="38" hidden="1" customWidth="1"/>
    <col min="32" max="32" width="9.140625" style="38" hidden="1" customWidth="1"/>
    <col min="33" max="33" width="16.85546875" style="42" hidden="1" customWidth="1"/>
    <col min="34" max="38" width="9.140625" style="38" hidden="1" customWidth="1"/>
    <col min="39" max="39" width="13.85546875" style="38" hidden="1" customWidth="1"/>
    <col min="40" max="40" width="17.7109375" style="38" customWidth="1"/>
    <col min="41" max="263" width="9.140625" style="38"/>
    <col min="264" max="264" width="2.5703125" style="38" customWidth="1"/>
    <col min="265" max="265" width="15.140625" style="38" bestFit="1" customWidth="1"/>
    <col min="266" max="266" width="3.7109375" style="38" customWidth="1"/>
    <col min="267" max="267" width="2.140625" style="38" customWidth="1"/>
    <col min="268" max="268" width="17.7109375" style="38" bestFit="1" customWidth="1"/>
    <col min="269" max="269" width="15" style="38" bestFit="1" customWidth="1"/>
    <col min="270" max="519" width="9.140625" style="38"/>
    <col min="520" max="520" width="2.5703125" style="38" customWidth="1"/>
    <col min="521" max="521" width="15.140625" style="38" bestFit="1" customWidth="1"/>
    <col min="522" max="522" width="3.7109375" style="38" customWidth="1"/>
    <col min="523" max="523" width="2.140625" style="38" customWidth="1"/>
    <col min="524" max="524" width="17.7109375" style="38" bestFit="1" customWidth="1"/>
    <col min="525" max="525" width="15" style="38" bestFit="1" customWidth="1"/>
    <col min="526" max="775" width="9.140625" style="38"/>
    <col min="776" max="776" width="2.5703125" style="38" customWidth="1"/>
    <col min="777" max="777" width="15.140625" style="38" bestFit="1" customWidth="1"/>
    <col min="778" max="778" width="3.7109375" style="38" customWidth="1"/>
    <col min="779" max="779" width="2.140625" style="38" customWidth="1"/>
    <col min="780" max="780" width="17.7109375" style="38" bestFit="1" customWidth="1"/>
    <col min="781" max="781" width="15" style="38" bestFit="1" customWidth="1"/>
    <col min="782" max="1031" width="9.140625" style="38"/>
    <col min="1032" max="1032" width="2.5703125" style="38" customWidth="1"/>
    <col min="1033" max="1033" width="15.140625" style="38" bestFit="1" customWidth="1"/>
    <col min="1034" max="1034" width="3.7109375" style="38" customWidth="1"/>
    <col min="1035" max="1035" width="2.140625" style="38" customWidth="1"/>
    <col min="1036" max="1036" width="17.7109375" style="38" bestFit="1" customWidth="1"/>
    <col min="1037" max="1037" width="15" style="38" bestFit="1" customWidth="1"/>
    <col min="1038" max="1287" width="9.140625" style="38"/>
    <col min="1288" max="1288" width="2.5703125" style="38" customWidth="1"/>
    <col min="1289" max="1289" width="15.140625" style="38" bestFit="1" customWidth="1"/>
    <col min="1290" max="1290" width="3.7109375" style="38" customWidth="1"/>
    <col min="1291" max="1291" width="2.140625" style="38" customWidth="1"/>
    <col min="1292" max="1292" width="17.7109375" style="38" bestFit="1" customWidth="1"/>
    <col min="1293" max="1293" width="15" style="38" bestFit="1" customWidth="1"/>
    <col min="1294" max="1543" width="9.140625" style="38"/>
    <col min="1544" max="1544" width="2.5703125" style="38" customWidth="1"/>
    <col min="1545" max="1545" width="15.140625" style="38" bestFit="1" customWidth="1"/>
    <col min="1546" max="1546" width="3.7109375" style="38" customWidth="1"/>
    <col min="1547" max="1547" width="2.140625" style="38" customWidth="1"/>
    <col min="1548" max="1548" width="17.7109375" style="38" bestFit="1" customWidth="1"/>
    <col min="1549" max="1549" width="15" style="38" bestFit="1" customWidth="1"/>
    <col min="1550" max="1799" width="9.140625" style="38"/>
    <col min="1800" max="1800" width="2.5703125" style="38" customWidth="1"/>
    <col min="1801" max="1801" width="15.140625" style="38" bestFit="1" customWidth="1"/>
    <col min="1802" max="1802" width="3.7109375" style="38" customWidth="1"/>
    <col min="1803" max="1803" width="2.140625" style="38" customWidth="1"/>
    <col min="1804" max="1804" width="17.7109375" style="38" bestFit="1" customWidth="1"/>
    <col min="1805" max="1805" width="15" style="38" bestFit="1" customWidth="1"/>
    <col min="1806" max="2055" width="9.140625" style="38"/>
    <col min="2056" max="2056" width="2.5703125" style="38" customWidth="1"/>
    <col min="2057" max="2057" width="15.140625" style="38" bestFit="1" customWidth="1"/>
    <col min="2058" max="2058" width="3.7109375" style="38" customWidth="1"/>
    <col min="2059" max="2059" width="2.140625" style="38" customWidth="1"/>
    <col min="2060" max="2060" width="17.7109375" style="38" bestFit="1" customWidth="1"/>
    <col min="2061" max="2061" width="15" style="38" bestFit="1" customWidth="1"/>
    <col min="2062" max="2311" width="9.140625" style="38"/>
    <col min="2312" max="2312" width="2.5703125" style="38" customWidth="1"/>
    <col min="2313" max="2313" width="15.140625" style="38" bestFit="1" customWidth="1"/>
    <col min="2314" max="2314" width="3.7109375" style="38" customWidth="1"/>
    <col min="2315" max="2315" width="2.140625" style="38" customWidth="1"/>
    <col min="2316" max="2316" width="17.7109375" style="38" bestFit="1" customWidth="1"/>
    <col min="2317" max="2317" width="15" style="38" bestFit="1" customWidth="1"/>
    <col min="2318" max="2567" width="9.140625" style="38"/>
    <col min="2568" max="2568" width="2.5703125" style="38" customWidth="1"/>
    <col min="2569" max="2569" width="15.140625" style="38" bestFit="1" customWidth="1"/>
    <col min="2570" max="2570" width="3.7109375" style="38" customWidth="1"/>
    <col min="2571" max="2571" width="2.140625" style="38" customWidth="1"/>
    <col min="2572" max="2572" width="17.7109375" style="38" bestFit="1" customWidth="1"/>
    <col min="2573" max="2573" width="15" style="38" bestFit="1" customWidth="1"/>
    <col min="2574" max="2823" width="9.140625" style="38"/>
    <col min="2824" max="2824" width="2.5703125" style="38" customWidth="1"/>
    <col min="2825" max="2825" width="15.140625" style="38" bestFit="1" customWidth="1"/>
    <col min="2826" max="2826" width="3.7109375" style="38" customWidth="1"/>
    <col min="2827" max="2827" width="2.140625" style="38" customWidth="1"/>
    <col min="2828" max="2828" width="17.7109375" style="38" bestFit="1" customWidth="1"/>
    <col min="2829" max="2829" width="15" style="38" bestFit="1" customWidth="1"/>
    <col min="2830" max="3079" width="9.140625" style="38"/>
    <col min="3080" max="3080" width="2.5703125" style="38" customWidth="1"/>
    <col min="3081" max="3081" width="15.140625" style="38" bestFit="1" customWidth="1"/>
    <col min="3082" max="3082" width="3.7109375" style="38" customWidth="1"/>
    <col min="3083" max="3083" width="2.140625" style="38" customWidth="1"/>
    <col min="3084" max="3084" width="17.7109375" style="38" bestFit="1" customWidth="1"/>
    <col min="3085" max="3085" width="15" style="38" bestFit="1" customWidth="1"/>
    <col min="3086" max="3335" width="9.140625" style="38"/>
    <col min="3336" max="3336" width="2.5703125" style="38" customWidth="1"/>
    <col min="3337" max="3337" width="15.140625" style="38" bestFit="1" customWidth="1"/>
    <col min="3338" max="3338" width="3.7109375" style="38" customWidth="1"/>
    <col min="3339" max="3339" width="2.140625" style="38" customWidth="1"/>
    <col min="3340" max="3340" width="17.7109375" style="38" bestFit="1" customWidth="1"/>
    <col min="3341" max="3341" width="15" style="38" bestFit="1" customWidth="1"/>
    <col min="3342" max="3591" width="9.140625" style="38"/>
    <col min="3592" max="3592" width="2.5703125" style="38" customWidth="1"/>
    <col min="3593" max="3593" width="15.140625" style="38" bestFit="1" customWidth="1"/>
    <col min="3594" max="3594" width="3.7109375" style="38" customWidth="1"/>
    <col min="3595" max="3595" width="2.140625" style="38" customWidth="1"/>
    <col min="3596" max="3596" width="17.7109375" style="38" bestFit="1" customWidth="1"/>
    <col min="3597" max="3597" width="15" style="38" bestFit="1" customWidth="1"/>
    <col min="3598" max="3847" width="9.140625" style="38"/>
    <col min="3848" max="3848" width="2.5703125" style="38" customWidth="1"/>
    <col min="3849" max="3849" width="15.140625" style="38" bestFit="1" customWidth="1"/>
    <col min="3850" max="3850" width="3.7109375" style="38" customWidth="1"/>
    <col min="3851" max="3851" width="2.140625" style="38" customWidth="1"/>
    <col min="3852" max="3852" width="17.7109375" style="38" bestFit="1" customWidth="1"/>
    <col min="3853" max="3853" width="15" style="38" bestFit="1" customWidth="1"/>
    <col min="3854" max="4103" width="9.140625" style="38"/>
    <col min="4104" max="4104" width="2.5703125" style="38" customWidth="1"/>
    <col min="4105" max="4105" width="15.140625" style="38" bestFit="1" customWidth="1"/>
    <col min="4106" max="4106" width="3.7109375" style="38" customWidth="1"/>
    <col min="4107" max="4107" width="2.140625" style="38" customWidth="1"/>
    <col min="4108" max="4108" width="17.7109375" style="38" bestFit="1" customWidth="1"/>
    <col min="4109" max="4109" width="15" style="38" bestFit="1" customWidth="1"/>
    <col min="4110" max="4359" width="9.140625" style="38"/>
    <col min="4360" max="4360" width="2.5703125" style="38" customWidth="1"/>
    <col min="4361" max="4361" width="15.140625" style="38" bestFit="1" customWidth="1"/>
    <col min="4362" max="4362" width="3.7109375" style="38" customWidth="1"/>
    <col min="4363" max="4363" width="2.140625" style="38" customWidth="1"/>
    <col min="4364" max="4364" width="17.7109375" style="38" bestFit="1" customWidth="1"/>
    <col min="4365" max="4365" width="15" style="38" bestFit="1" customWidth="1"/>
    <col min="4366" max="4615" width="9.140625" style="38"/>
    <col min="4616" max="4616" width="2.5703125" style="38" customWidth="1"/>
    <col min="4617" max="4617" width="15.140625" style="38" bestFit="1" customWidth="1"/>
    <col min="4618" max="4618" width="3.7109375" style="38" customWidth="1"/>
    <col min="4619" max="4619" width="2.140625" style="38" customWidth="1"/>
    <col min="4620" max="4620" width="17.7109375" style="38" bestFit="1" customWidth="1"/>
    <col min="4621" max="4621" width="15" style="38" bestFit="1" customWidth="1"/>
    <col min="4622" max="4871" width="9.140625" style="38"/>
    <col min="4872" max="4872" width="2.5703125" style="38" customWidth="1"/>
    <col min="4873" max="4873" width="15.140625" style="38" bestFit="1" customWidth="1"/>
    <col min="4874" max="4874" width="3.7109375" style="38" customWidth="1"/>
    <col min="4875" max="4875" width="2.140625" style="38" customWidth="1"/>
    <col min="4876" max="4876" width="17.7109375" style="38" bestFit="1" customWidth="1"/>
    <col min="4877" max="4877" width="15" style="38" bestFit="1" customWidth="1"/>
    <col min="4878" max="5127" width="9.140625" style="38"/>
    <col min="5128" max="5128" width="2.5703125" style="38" customWidth="1"/>
    <col min="5129" max="5129" width="15.140625" style="38" bestFit="1" customWidth="1"/>
    <col min="5130" max="5130" width="3.7109375" style="38" customWidth="1"/>
    <col min="5131" max="5131" width="2.140625" style="38" customWidth="1"/>
    <col min="5132" max="5132" width="17.7109375" style="38" bestFit="1" customWidth="1"/>
    <col min="5133" max="5133" width="15" style="38" bestFit="1" customWidth="1"/>
    <col min="5134" max="5383" width="9.140625" style="38"/>
    <col min="5384" max="5384" width="2.5703125" style="38" customWidth="1"/>
    <col min="5385" max="5385" width="15.140625" style="38" bestFit="1" customWidth="1"/>
    <col min="5386" max="5386" width="3.7109375" style="38" customWidth="1"/>
    <col min="5387" max="5387" width="2.140625" style="38" customWidth="1"/>
    <col min="5388" max="5388" width="17.7109375" style="38" bestFit="1" customWidth="1"/>
    <col min="5389" max="5389" width="15" style="38" bestFit="1" customWidth="1"/>
    <col min="5390" max="5639" width="9.140625" style="38"/>
    <col min="5640" max="5640" width="2.5703125" style="38" customWidth="1"/>
    <col min="5641" max="5641" width="15.140625" style="38" bestFit="1" customWidth="1"/>
    <col min="5642" max="5642" width="3.7109375" style="38" customWidth="1"/>
    <col min="5643" max="5643" width="2.140625" style="38" customWidth="1"/>
    <col min="5644" max="5644" width="17.7109375" style="38" bestFit="1" customWidth="1"/>
    <col min="5645" max="5645" width="15" style="38" bestFit="1" customWidth="1"/>
    <col min="5646" max="5895" width="9.140625" style="38"/>
    <col min="5896" max="5896" width="2.5703125" style="38" customWidth="1"/>
    <col min="5897" max="5897" width="15.140625" style="38" bestFit="1" customWidth="1"/>
    <col min="5898" max="5898" width="3.7109375" style="38" customWidth="1"/>
    <col min="5899" max="5899" width="2.140625" style="38" customWidth="1"/>
    <col min="5900" max="5900" width="17.7109375" style="38" bestFit="1" customWidth="1"/>
    <col min="5901" max="5901" width="15" style="38" bestFit="1" customWidth="1"/>
    <col min="5902" max="6151" width="9.140625" style="38"/>
    <col min="6152" max="6152" width="2.5703125" style="38" customWidth="1"/>
    <col min="6153" max="6153" width="15.140625" style="38" bestFit="1" customWidth="1"/>
    <col min="6154" max="6154" width="3.7109375" style="38" customWidth="1"/>
    <col min="6155" max="6155" width="2.140625" style="38" customWidth="1"/>
    <col min="6156" max="6156" width="17.7109375" style="38" bestFit="1" customWidth="1"/>
    <col min="6157" max="6157" width="15" style="38" bestFit="1" customWidth="1"/>
    <col min="6158" max="6407" width="9.140625" style="38"/>
    <col min="6408" max="6408" width="2.5703125" style="38" customWidth="1"/>
    <col min="6409" max="6409" width="15.140625" style="38" bestFit="1" customWidth="1"/>
    <col min="6410" max="6410" width="3.7109375" style="38" customWidth="1"/>
    <col min="6411" max="6411" width="2.140625" style="38" customWidth="1"/>
    <col min="6412" max="6412" width="17.7109375" style="38" bestFit="1" customWidth="1"/>
    <col min="6413" max="6413" width="15" style="38" bestFit="1" customWidth="1"/>
    <col min="6414" max="6663" width="9.140625" style="38"/>
    <col min="6664" max="6664" width="2.5703125" style="38" customWidth="1"/>
    <col min="6665" max="6665" width="15.140625" style="38" bestFit="1" customWidth="1"/>
    <col min="6666" max="6666" width="3.7109375" style="38" customWidth="1"/>
    <col min="6667" max="6667" width="2.140625" style="38" customWidth="1"/>
    <col min="6668" max="6668" width="17.7109375" style="38" bestFit="1" customWidth="1"/>
    <col min="6669" max="6669" width="15" style="38" bestFit="1" customWidth="1"/>
    <col min="6670" max="6919" width="9.140625" style="38"/>
    <col min="6920" max="6920" width="2.5703125" style="38" customWidth="1"/>
    <col min="6921" max="6921" width="15.140625" style="38" bestFit="1" customWidth="1"/>
    <col min="6922" max="6922" width="3.7109375" style="38" customWidth="1"/>
    <col min="6923" max="6923" width="2.140625" style="38" customWidth="1"/>
    <col min="6924" max="6924" width="17.7109375" style="38" bestFit="1" customWidth="1"/>
    <col min="6925" max="6925" width="15" style="38" bestFit="1" customWidth="1"/>
    <col min="6926" max="7175" width="9.140625" style="38"/>
    <col min="7176" max="7176" width="2.5703125" style="38" customWidth="1"/>
    <col min="7177" max="7177" width="15.140625" style="38" bestFit="1" customWidth="1"/>
    <col min="7178" max="7178" width="3.7109375" style="38" customWidth="1"/>
    <col min="7179" max="7179" width="2.140625" style="38" customWidth="1"/>
    <col min="7180" max="7180" width="17.7109375" style="38" bestFit="1" customWidth="1"/>
    <col min="7181" max="7181" width="15" style="38" bestFit="1" customWidth="1"/>
    <col min="7182" max="7431" width="9.140625" style="38"/>
    <col min="7432" max="7432" width="2.5703125" style="38" customWidth="1"/>
    <col min="7433" max="7433" width="15.140625" style="38" bestFit="1" customWidth="1"/>
    <col min="7434" max="7434" width="3.7109375" style="38" customWidth="1"/>
    <col min="7435" max="7435" width="2.140625" style="38" customWidth="1"/>
    <col min="7436" max="7436" width="17.7109375" style="38" bestFit="1" customWidth="1"/>
    <col min="7437" max="7437" width="15" style="38" bestFit="1" customWidth="1"/>
    <col min="7438" max="7687" width="9.140625" style="38"/>
    <col min="7688" max="7688" width="2.5703125" style="38" customWidth="1"/>
    <col min="7689" max="7689" width="15.140625" style="38" bestFit="1" customWidth="1"/>
    <col min="7690" max="7690" width="3.7109375" style="38" customWidth="1"/>
    <col min="7691" max="7691" width="2.140625" style="38" customWidth="1"/>
    <col min="7692" max="7692" width="17.7109375" style="38" bestFit="1" customWidth="1"/>
    <col min="7693" max="7693" width="15" style="38" bestFit="1" customWidth="1"/>
    <col min="7694" max="7943" width="9.140625" style="38"/>
    <col min="7944" max="7944" width="2.5703125" style="38" customWidth="1"/>
    <col min="7945" max="7945" width="15.140625" style="38" bestFit="1" customWidth="1"/>
    <col min="7946" max="7946" width="3.7109375" style="38" customWidth="1"/>
    <col min="7947" max="7947" width="2.140625" style="38" customWidth="1"/>
    <col min="7948" max="7948" width="17.7109375" style="38" bestFit="1" customWidth="1"/>
    <col min="7949" max="7949" width="15" style="38" bestFit="1" customWidth="1"/>
    <col min="7950" max="8199" width="9.140625" style="38"/>
    <col min="8200" max="8200" width="2.5703125" style="38" customWidth="1"/>
    <col min="8201" max="8201" width="15.140625" style="38" bestFit="1" customWidth="1"/>
    <col min="8202" max="8202" width="3.7109375" style="38" customWidth="1"/>
    <col min="8203" max="8203" width="2.140625" style="38" customWidth="1"/>
    <col min="8204" max="8204" width="17.7109375" style="38" bestFit="1" customWidth="1"/>
    <col min="8205" max="8205" width="15" style="38" bestFit="1" customWidth="1"/>
    <col min="8206" max="8455" width="9.140625" style="38"/>
    <col min="8456" max="8456" width="2.5703125" style="38" customWidth="1"/>
    <col min="8457" max="8457" width="15.140625" style="38" bestFit="1" customWidth="1"/>
    <col min="8458" max="8458" width="3.7109375" style="38" customWidth="1"/>
    <col min="8459" max="8459" width="2.140625" style="38" customWidth="1"/>
    <col min="8460" max="8460" width="17.7109375" style="38" bestFit="1" customWidth="1"/>
    <col min="8461" max="8461" width="15" style="38" bestFit="1" customWidth="1"/>
    <col min="8462" max="8711" width="9.140625" style="38"/>
    <col min="8712" max="8712" width="2.5703125" style="38" customWidth="1"/>
    <col min="8713" max="8713" width="15.140625" style="38" bestFit="1" customWidth="1"/>
    <col min="8714" max="8714" width="3.7109375" style="38" customWidth="1"/>
    <col min="8715" max="8715" width="2.140625" style="38" customWidth="1"/>
    <col min="8716" max="8716" width="17.7109375" style="38" bestFit="1" customWidth="1"/>
    <col min="8717" max="8717" width="15" style="38" bestFit="1" customWidth="1"/>
    <col min="8718" max="8967" width="9.140625" style="38"/>
    <col min="8968" max="8968" width="2.5703125" style="38" customWidth="1"/>
    <col min="8969" max="8969" width="15.140625" style="38" bestFit="1" customWidth="1"/>
    <col min="8970" max="8970" width="3.7109375" style="38" customWidth="1"/>
    <col min="8971" max="8971" width="2.140625" style="38" customWidth="1"/>
    <col min="8972" max="8972" width="17.7109375" style="38" bestFit="1" customWidth="1"/>
    <col min="8973" max="8973" width="15" style="38" bestFit="1" customWidth="1"/>
    <col min="8974" max="9223" width="9.140625" style="38"/>
    <col min="9224" max="9224" width="2.5703125" style="38" customWidth="1"/>
    <col min="9225" max="9225" width="15.140625" style="38" bestFit="1" customWidth="1"/>
    <col min="9226" max="9226" width="3.7109375" style="38" customWidth="1"/>
    <col min="9227" max="9227" width="2.140625" style="38" customWidth="1"/>
    <col min="9228" max="9228" width="17.7109375" style="38" bestFit="1" customWidth="1"/>
    <col min="9229" max="9229" width="15" style="38" bestFit="1" customWidth="1"/>
    <col min="9230" max="9479" width="9.140625" style="38"/>
    <col min="9480" max="9480" width="2.5703125" style="38" customWidth="1"/>
    <col min="9481" max="9481" width="15.140625" style="38" bestFit="1" customWidth="1"/>
    <col min="9482" max="9482" width="3.7109375" style="38" customWidth="1"/>
    <col min="9483" max="9483" width="2.140625" style="38" customWidth="1"/>
    <col min="9484" max="9484" width="17.7109375" style="38" bestFit="1" customWidth="1"/>
    <col min="9485" max="9485" width="15" style="38" bestFit="1" customWidth="1"/>
    <col min="9486" max="9735" width="9.140625" style="38"/>
    <col min="9736" max="9736" width="2.5703125" style="38" customWidth="1"/>
    <col min="9737" max="9737" width="15.140625" style="38" bestFit="1" customWidth="1"/>
    <col min="9738" max="9738" width="3.7109375" style="38" customWidth="1"/>
    <col min="9739" max="9739" width="2.140625" style="38" customWidth="1"/>
    <col min="9740" max="9740" width="17.7109375" style="38" bestFit="1" customWidth="1"/>
    <col min="9741" max="9741" width="15" style="38" bestFit="1" customWidth="1"/>
    <col min="9742" max="9991" width="9.140625" style="38"/>
    <col min="9992" max="9992" width="2.5703125" style="38" customWidth="1"/>
    <col min="9993" max="9993" width="15.140625" style="38" bestFit="1" customWidth="1"/>
    <col min="9994" max="9994" width="3.7109375" style="38" customWidth="1"/>
    <col min="9995" max="9995" width="2.140625" style="38" customWidth="1"/>
    <col min="9996" max="9996" width="17.7109375" style="38" bestFit="1" customWidth="1"/>
    <col min="9997" max="9997" width="15" style="38" bestFit="1" customWidth="1"/>
    <col min="9998" max="10247" width="9.140625" style="38"/>
    <col min="10248" max="10248" width="2.5703125" style="38" customWidth="1"/>
    <col min="10249" max="10249" width="15.140625" style="38" bestFit="1" customWidth="1"/>
    <col min="10250" max="10250" width="3.7109375" style="38" customWidth="1"/>
    <col min="10251" max="10251" width="2.140625" style="38" customWidth="1"/>
    <col min="10252" max="10252" width="17.7109375" style="38" bestFit="1" customWidth="1"/>
    <col min="10253" max="10253" width="15" style="38" bestFit="1" customWidth="1"/>
    <col min="10254" max="10503" width="9.140625" style="38"/>
    <col min="10504" max="10504" width="2.5703125" style="38" customWidth="1"/>
    <col min="10505" max="10505" width="15.140625" style="38" bestFit="1" customWidth="1"/>
    <col min="10506" max="10506" width="3.7109375" style="38" customWidth="1"/>
    <col min="10507" max="10507" width="2.140625" style="38" customWidth="1"/>
    <col min="10508" max="10508" width="17.7109375" style="38" bestFit="1" customWidth="1"/>
    <col min="10509" max="10509" width="15" style="38" bestFit="1" customWidth="1"/>
    <col min="10510" max="10759" width="9.140625" style="38"/>
    <col min="10760" max="10760" width="2.5703125" style="38" customWidth="1"/>
    <col min="10761" max="10761" width="15.140625" style="38" bestFit="1" customWidth="1"/>
    <col min="10762" max="10762" width="3.7109375" style="38" customWidth="1"/>
    <col min="10763" max="10763" width="2.140625" style="38" customWidth="1"/>
    <col min="10764" max="10764" width="17.7109375" style="38" bestFit="1" customWidth="1"/>
    <col min="10765" max="10765" width="15" style="38" bestFit="1" customWidth="1"/>
    <col min="10766" max="11015" width="9.140625" style="38"/>
    <col min="11016" max="11016" width="2.5703125" style="38" customWidth="1"/>
    <col min="11017" max="11017" width="15.140625" style="38" bestFit="1" customWidth="1"/>
    <col min="11018" max="11018" width="3.7109375" style="38" customWidth="1"/>
    <col min="11019" max="11019" width="2.140625" style="38" customWidth="1"/>
    <col min="11020" max="11020" width="17.7109375" style="38" bestFit="1" customWidth="1"/>
    <col min="11021" max="11021" width="15" style="38" bestFit="1" customWidth="1"/>
    <col min="11022" max="11271" width="9.140625" style="38"/>
    <col min="11272" max="11272" width="2.5703125" style="38" customWidth="1"/>
    <col min="11273" max="11273" width="15.140625" style="38" bestFit="1" customWidth="1"/>
    <col min="11274" max="11274" width="3.7109375" style="38" customWidth="1"/>
    <col min="11275" max="11275" width="2.140625" style="38" customWidth="1"/>
    <col min="11276" max="11276" width="17.7109375" style="38" bestFit="1" customWidth="1"/>
    <col min="11277" max="11277" width="15" style="38" bestFit="1" customWidth="1"/>
    <col min="11278" max="11527" width="9.140625" style="38"/>
    <col min="11528" max="11528" width="2.5703125" style="38" customWidth="1"/>
    <col min="11529" max="11529" width="15.140625" style="38" bestFit="1" customWidth="1"/>
    <col min="11530" max="11530" width="3.7109375" style="38" customWidth="1"/>
    <col min="11531" max="11531" width="2.140625" style="38" customWidth="1"/>
    <col min="11532" max="11532" width="17.7109375" style="38" bestFit="1" customWidth="1"/>
    <col min="11533" max="11533" width="15" style="38" bestFit="1" customWidth="1"/>
    <col min="11534" max="11783" width="9.140625" style="38"/>
    <col min="11784" max="11784" width="2.5703125" style="38" customWidth="1"/>
    <col min="11785" max="11785" width="15.140625" style="38" bestFit="1" customWidth="1"/>
    <col min="11786" max="11786" width="3.7109375" style="38" customWidth="1"/>
    <col min="11787" max="11787" width="2.140625" style="38" customWidth="1"/>
    <col min="11788" max="11788" width="17.7109375" style="38" bestFit="1" customWidth="1"/>
    <col min="11789" max="11789" width="15" style="38" bestFit="1" customWidth="1"/>
    <col min="11790" max="12039" width="9.140625" style="38"/>
    <col min="12040" max="12040" width="2.5703125" style="38" customWidth="1"/>
    <col min="12041" max="12041" width="15.140625" style="38" bestFit="1" customWidth="1"/>
    <col min="12042" max="12042" width="3.7109375" style="38" customWidth="1"/>
    <col min="12043" max="12043" width="2.140625" style="38" customWidth="1"/>
    <col min="12044" max="12044" width="17.7109375" style="38" bestFit="1" customWidth="1"/>
    <col min="12045" max="12045" width="15" style="38" bestFit="1" customWidth="1"/>
    <col min="12046" max="12295" width="9.140625" style="38"/>
    <col min="12296" max="12296" width="2.5703125" style="38" customWidth="1"/>
    <col min="12297" max="12297" width="15.140625" style="38" bestFit="1" customWidth="1"/>
    <col min="12298" max="12298" width="3.7109375" style="38" customWidth="1"/>
    <col min="12299" max="12299" width="2.140625" style="38" customWidth="1"/>
    <col min="12300" max="12300" width="17.7109375" style="38" bestFit="1" customWidth="1"/>
    <col min="12301" max="12301" width="15" style="38" bestFit="1" customWidth="1"/>
    <col min="12302" max="12551" width="9.140625" style="38"/>
    <col min="12552" max="12552" width="2.5703125" style="38" customWidth="1"/>
    <col min="12553" max="12553" width="15.140625" style="38" bestFit="1" customWidth="1"/>
    <col min="12554" max="12554" width="3.7109375" style="38" customWidth="1"/>
    <col min="12555" max="12555" width="2.140625" style="38" customWidth="1"/>
    <col min="12556" max="12556" width="17.7109375" style="38" bestFit="1" customWidth="1"/>
    <col min="12557" max="12557" width="15" style="38" bestFit="1" customWidth="1"/>
    <col min="12558" max="12807" width="9.140625" style="38"/>
    <col min="12808" max="12808" width="2.5703125" style="38" customWidth="1"/>
    <col min="12809" max="12809" width="15.140625" style="38" bestFit="1" customWidth="1"/>
    <col min="12810" max="12810" width="3.7109375" style="38" customWidth="1"/>
    <col min="12811" max="12811" width="2.140625" style="38" customWidth="1"/>
    <col min="12812" max="12812" width="17.7109375" style="38" bestFit="1" customWidth="1"/>
    <col min="12813" max="12813" width="15" style="38" bestFit="1" customWidth="1"/>
    <col min="12814" max="13063" width="9.140625" style="38"/>
    <col min="13064" max="13064" width="2.5703125" style="38" customWidth="1"/>
    <col min="13065" max="13065" width="15.140625" style="38" bestFit="1" customWidth="1"/>
    <col min="13066" max="13066" width="3.7109375" style="38" customWidth="1"/>
    <col min="13067" max="13067" width="2.140625" style="38" customWidth="1"/>
    <col min="13068" max="13068" width="17.7109375" style="38" bestFit="1" customWidth="1"/>
    <col min="13069" max="13069" width="15" style="38" bestFit="1" customWidth="1"/>
    <col min="13070" max="13319" width="9.140625" style="38"/>
    <col min="13320" max="13320" width="2.5703125" style="38" customWidth="1"/>
    <col min="13321" max="13321" width="15.140625" style="38" bestFit="1" customWidth="1"/>
    <col min="13322" max="13322" width="3.7109375" style="38" customWidth="1"/>
    <col min="13323" max="13323" width="2.140625" style="38" customWidth="1"/>
    <col min="13324" max="13324" width="17.7109375" style="38" bestFit="1" customWidth="1"/>
    <col min="13325" max="13325" width="15" style="38" bestFit="1" customWidth="1"/>
    <col min="13326" max="13575" width="9.140625" style="38"/>
    <col min="13576" max="13576" width="2.5703125" style="38" customWidth="1"/>
    <col min="13577" max="13577" width="15.140625" style="38" bestFit="1" customWidth="1"/>
    <col min="13578" max="13578" width="3.7109375" style="38" customWidth="1"/>
    <col min="13579" max="13579" width="2.140625" style="38" customWidth="1"/>
    <col min="13580" max="13580" width="17.7109375" style="38" bestFit="1" customWidth="1"/>
    <col min="13581" max="13581" width="15" style="38" bestFit="1" customWidth="1"/>
    <col min="13582" max="13831" width="9.140625" style="38"/>
    <col min="13832" max="13832" width="2.5703125" style="38" customWidth="1"/>
    <col min="13833" max="13833" width="15.140625" style="38" bestFit="1" customWidth="1"/>
    <col min="13834" max="13834" width="3.7109375" style="38" customWidth="1"/>
    <col min="13835" max="13835" width="2.140625" style="38" customWidth="1"/>
    <col min="13836" max="13836" width="17.7109375" style="38" bestFit="1" customWidth="1"/>
    <col min="13837" max="13837" width="15" style="38" bestFit="1" customWidth="1"/>
    <col min="13838" max="14087" width="9.140625" style="38"/>
    <col min="14088" max="14088" width="2.5703125" style="38" customWidth="1"/>
    <col min="14089" max="14089" width="15.140625" style="38" bestFit="1" customWidth="1"/>
    <col min="14090" max="14090" width="3.7109375" style="38" customWidth="1"/>
    <col min="14091" max="14091" width="2.140625" style="38" customWidth="1"/>
    <col min="14092" max="14092" width="17.7109375" style="38" bestFit="1" customWidth="1"/>
    <col min="14093" max="14093" width="15" style="38" bestFit="1" customWidth="1"/>
    <col min="14094" max="14343" width="9.140625" style="38"/>
    <col min="14344" max="14344" width="2.5703125" style="38" customWidth="1"/>
    <col min="14345" max="14345" width="15.140625" style="38" bestFit="1" customWidth="1"/>
    <col min="14346" max="14346" width="3.7109375" style="38" customWidth="1"/>
    <col min="14347" max="14347" width="2.140625" style="38" customWidth="1"/>
    <col min="14348" max="14348" width="17.7109375" style="38" bestFit="1" customWidth="1"/>
    <col min="14349" max="14349" width="15" style="38" bestFit="1" customWidth="1"/>
    <col min="14350" max="14599" width="9.140625" style="38"/>
    <col min="14600" max="14600" width="2.5703125" style="38" customWidth="1"/>
    <col min="14601" max="14601" width="15.140625" style="38" bestFit="1" customWidth="1"/>
    <col min="14602" max="14602" width="3.7109375" style="38" customWidth="1"/>
    <col min="14603" max="14603" width="2.140625" style="38" customWidth="1"/>
    <col min="14604" max="14604" width="17.7109375" style="38" bestFit="1" customWidth="1"/>
    <col min="14605" max="14605" width="15" style="38" bestFit="1" customWidth="1"/>
    <col min="14606" max="14855" width="9.140625" style="38"/>
    <col min="14856" max="14856" width="2.5703125" style="38" customWidth="1"/>
    <col min="14857" max="14857" width="15.140625" style="38" bestFit="1" customWidth="1"/>
    <col min="14858" max="14858" width="3.7109375" style="38" customWidth="1"/>
    <col min="14859" max="14859" width="2.140625" style="38" customWidth="1"/>
    <col min="14860" max="14860" width="17.7109375" style="38" bestFit="1" customWidth="1"/>
    <col min="14861" max="14861" width="15" style="38" bestFit="1" customWidth="1"/>
    <col min="14862" max="15111" width="9.140625" style="38"/>
    <col min="15112" max="15112" width="2.5703125" style="38" customWidth="1"/>
    <col min="15113" max="15113" width="15.140625" style="38" bestFit="1" customWidth="1"/>
    <col min="15114" max="15114" width="3.7109375" style="38" customWidth="1"/>
    <col min="15115" max="15115" width="2.140625" style="38" customWidth="1"/>
    <col min="15116" max="15116" width="17.7109375" style="38" bestFit="1" customWidth="1"/>
    <col min="15117" max="15117" width="15" style="38" bestFit="1" customWidth="1"/>
    <col min="15118" max="15367" width="9.140625" style="38"/>
    <col min="15368" max="15368" width="2.5703125" style="38" customWidth="1"/>
    <col min="15369" max="15369" width="15.140625" style="38" bestFit="1" customWidth="1"/>
    <col min="15370" max="15370" width="3.7109375" style="38" customWidth="1"/>
    <col min="15371" max="15371" width="2.140625" style="38" customWidth="1"/>
    <col min="15372" max="15372" width="17.7109375" style="38" bestFit="1" customWidth="1"/>
    <col min="15373" max="15373" width="15" style="38" bestFit="1" customWidth="1"/>
    <col min="15374" max="15623" width="9.140625" style="38"/>
    <col min="15624" max="15624" width="2.5703125" style="38" customWidth="1"/>
    <col min="15625" max="15625" width="15.140625" style="38" bestFit="1" customWidth="1"/>
    <col min="15626" max="15626" width="3.7109375" style="38" customWidth="1"/>
    <col min="15627" max="15627" width="2.140625" style="38" customWidth="1"/>
    <col min="15628" max="15628" width="17.7109375" style="38" bestFit="1" customWidth="1"/>
    <col min="15629" max="15629" width="15" style="38" bestFit="1" customWidth="1"/>
    <col min="15630" max="15879" width="9.140625" style="38"/>
    <col min="15880" max="15880" width="2.5703125" style="38" customWidth="1"/>
    <col min="15881" max="15881" width="15.140625" style="38" bestFit="1" customWidth="1"/>
    <col min="15882" max="15882" width="3.7109375" style="38" customWidth="1"/>
    <col min="15883" max="15883" width="2.140625" style="38" customWidth="1"/>
    <col min="15884" max="15884" width="17.7109375" style="38" bestFit="1" customWidth="1"/>
    <col min="15885" max="15885" width="15" style="38" bestFit="1" customWidth="1"/>
    <col min="15886" max="16135" width="9.140625" style="38"/>
    <col min="16136" max="16136" width="2.5703125" style="38" customWidth="1"/>
    <col min="16137" max="16137" width="15.140625" style="38" bestFit="1" customWidth="1"/>
    <col min="16138" max="16138" width="3.7109375" style="38" customWidth="1"/>
    <col min="16139" max="16139" width="2.140625" style="38" customWidth="1"/>
    <col min="16140" max="16140" width="17.7109375" style="38" bestFit="1" customWidth="1"/>
    <col min="16141" max="16141" width="15" style="38" bestFit="1" customWidth="1"/>
    <col min="16142" max="16384" width="9.140625" style="38"/>
  </cols>
  <sheetData>
    <row r="1" spans="1:40" x14ac:dyDescent="0.3">
      <c r="A1" s="526" t="s">
        <v>0</v>
      </c>
      <c r="B1" s="526"/>
      <c r="C1" s="526"/>
      <c r="D1" s="526"/>
      <c r="E1" s="526"/>
      <c r="F1" s="526"/>
      <c r="G1" s="526"/>
      <c r="H1" s="526"/>
      <c r="I1" s="526"/>
      <c r="J1" s="526"/>
      <c r="K1" s="526"/>
      <c r="L1" s="526"/>
      <c r="M1" s="526"/>
      <c r="N1" s="526"/>
      <c r="O1" s="526"/>
    </row>
    <row r="2" spans="1:40" x14ac:dyDescent="0.3">
      <c r="A2" s="526" t="s">
        <v>1</v>
      </c>
      <c r="B2" s="526"/>
      <c r="C2" s="526"/>
      <c r="D2" s="526"/>
      <c r="E2" s="526"/>
      <c r="F2" s="526"/>
      <c r="G2" s="526"/>
      <c r="H2" s="526"/>
      <c r="I2" s="526"/>
      <c r="J2" s="526"/>
      <c r="K2" s="526"/>
      <c r="L2" s="526"/>
      <c r="M2" s="526"/>
      <c r="N2" s="526"/>
      <c r="O2" s="526"/>
    </row>
    <row r="3" spans="1:40" x14ac:dyDescent="0.3">
      <c r="A3" s="527" t="s">
        <v>565</v>
      </c>
      <c r="B3" s="527"/>
      <c r="C3" s="527"/>
      <c r="D3" s="527"/>
      <c r="E3" s="527"/>
      <c r="F3" s="527"/>
      <c r="G3" s="527"/>
      <c r="H3" s="527"/>
      <c r="I3" s="527"/>
      <c r="J3" s="527"/>
      <c r="K3" s="527"/>
      <c r="L3" s="527"/>
      <c r="M3" s="527"/>
      <c r="N3" s="527"/>
      <c r="O3" s="527"/>
    </row>
    <row r="4" spans="1:40" x14ac:dyDescent="0.3">
      <c r="A4" s="528" t="str">
        <f>FC1SFP!A4</f>
        <v>Fund Cluster 1</v>
      </c>
      <c r="B4" s="528"/>
      <c r="C4" s="528"/>
      <c r="D4" s="528"/>
      <c r="E4" s="528"/>
      <c r="F4" s="528"/>
      <c r="G4" s="528"/>
      <c r="H4" s="528"/>
      <c r="I4" s="528"/>
      <c r="J4" s="528"/>
      <c r="K4" s="528"/>
      <c r="L4" s="528"/>
      <c r="M4" s="528"/>
      <c r="N4" s="528"/>
      <c r="O4" s="528"/>
    </row>
    <row r="5" spans="1:40" x14ac:dyDescent="0.3">
      <c r="A5" s="529" t="str">
        <f>'tb control'!A5:E5</f>
        <v>As at December 31, 2024</v>
      </c>
      <c r="B5" s="529"/>
      <c r="C5" s="529"/>
      <c r="D5" s="529"/>
      <c r="E5" s="529"/>
      <c r="F5" s="529"/>
      <c r="G5" s="529"/>
      <c r="H5" s="529"/>
      <c r="I5" s="529"/>
      <c r="J5" s="529"/>
      <c r="K5" s="529"/>
      <c r="L5" s="529"/>
      <c r="M5" s="529"/>
      <c r="N5" s="529"/>
      <c r="O5" s="529"/>
    </row>
    <row r="6" spans="1:40" x14ac:dyDescent="0.3">
      <c r="A6" s="16" t="s">
        <v>352</v>
      </c>
      <c r="B6" s="16"/>
      <c r="C6" s="16"/>
      <c r="D6" s="16"/>
      <c r="E6" s="16"/>
      <c r="F6" s="16"/>
      <c r="G6" s="16"/>
      <c r="H6" s="16"/>
      <c r="I6" s="16"/>
      <c r="J6" s="16"/>
      <c r="K6" s="29"/>
      <c r="L6" s="37"/>
      <c r="M6" s="37"/>
      <c r="N6" s="37"/>
    </row>
    <row r="7" spans="1:40" x14ac:dyDescent="0.3">
      <c r="A7" s="16"/>
      <c r="B7" s="16"/>
      <c r="C7" s="16"/>
      <c r="D7" s="16"/>
      <c r="E7" s="16"/>
      <c r="F7" s="16"/>
      <c r="G7" s="16"/>
      <c r="H7" s="16"/>
      <c r="I7" s="16"/>
      <c r="J7" s="30" t="s">
        <v>515</v>
      </c>
      <c r="K7" s="31"/>
      <c r="L7" s="150">
        <v>2023</v>
      </c>
      <c r="M7" s="150" t="s">
        <v>522</v>
      </c>
      <c r="N7" s="150" t="s">
        <v>516</v>
      </c>
      <c r="O7" s="39"/>
    </row>
    <row r="8" spans="1:40" x14ac:dyDescent="0.3">
      <c r="A8" s="16"/>
      <c r="B8" s="16"/>
      <c r="C8" s="16"/>
      <c r="D8" s="16"/>
      <c r="E8" s="16"/>
      <c r="F8" s="16"/>
      <c r="G8" s="16"/>
      <c r="H8" s="16"/>
      <c r="I8" s="16"/>
      <c r="J8" s="16"/>
      <c r="K8" s="29"/>
      <c r="L8" s="37"/>
      <c r="M8" s="37"/>
      <c r="N8" s="37"/>
    </row>
    <row r="9" spans="1:40" x14ac:dyDescent="0.3">
      <c r="A9" s="16"/>
      <c r="B9" s="16"/>
      <c r="C9" s="16"/>
      <c r="D9" s="16"/>
      <c r="E9" s="16"/>
      <c r="F9" s="16"/>
      <c r="G9" s="16"/>
      <c r="H9" s="16"/>
      <c r="I9" s="16"/>
      <c r="J9" s="34" t="s">
        <v>262</v>
      </c>
      <c r="K9" s="29"/>
      <c r="L9" s="37"/>
      <c r="M9" s="37"/>
      <c r="N9" s="37"/>
      <c r="W9" s="307" t="s">
        <v>484</v>
      </c>
      <c r="Z9" s="307" t="s">
        <v>484</v>
      </c>
    </row>
    <row r="10" spans="1:40" x14ac:dyDescent="0.3">
      <c r="A10" s="16"/>
      <c r="B10" s="16"/>
      <c r="C10" s="16"/>
      <c r="D10" s="16"/>
      <c r="E10" s="16"/>
      <c r="F10" s="16"/>
      <c r="G10" s="16"/>
      <c r="H10" s="16"/>
      <c r="I10" s="16"/>
      <c r="J10" s="35"/>
      <c r="K10" s="40"/>
      <c r="L10" s="35"/>
      <c r="M10" s="35"/>
      <c r="N10" s="35"/>
      <c r="W10" s="307" t="s">
        <v>485</v>
      </c>
      <c r="Z10" s="307" t="s">
        <v>485</v>
      </c>
      <c r="AG10" s="307"/>
    </row>
    <row r="11" spans="1:40" x14ac:dyDescent="0.3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29"/>
      <c r="L11" s="37"/>
      <c r="M11" s="37"/>
      <c r="N11" s="37"/>
      <c r="T11" s="525" t="s">
        <v>486</v>
      </c>
      <c r="U11" s="525"/>
      <c r="V11" s="525"/>
      <c r="W11" s="525"/>
      <c r="X11" s="525"/>
      <c r="AG11" s="307"/>
    </row>
    <row r="12" spans="1:40" x14ac:dyDescent="0.3">
      <c r="A12" s="16" t="s">
        <v>517</v>
      </c>
      <c r="B12" s="18"/>
      <c r="C12" s="14"/>
      <c r="D12" s="16"/>
      <c r="E12" s="16"/>
      <c r="F12" s="16"/>
      <c r="G12" s="16"/>
      <c r="H12" s="16"/>
      <c r="I12" s="17" t="s">
        <v>182</v>
      </c>
      <c r="J12" s="2">
        <v>1316230465.0899999</v>
      </c>
      <c r="K12" s="29" t="s">
        <v>182</v>
      </c>
      <c r="L12" s="37">
        <v>1632911107.6800001</v>
      </c>
      <c r="M12" s="37">
        <f>'[2]FC1 2024'!$S$128</f>
        <v>3770864.1359999981</v>
      </c>
      <c r="N12" s="37">
        <f>L12+M12</f>
        <v>1636681971.816</v>
      </c>
      <c r="T12" s="164" t="s">
        <v>452</v>
      </c>
      <c r="U12" s="164" t="s">
        <v>453</v>
      </c>
      <c r="V12" s="164" t="s">
        <v>454</v>
      </c>
      <c r="W12" s="164" t="s">
        <v>455</v>
      </c>
      <c r="X12" s="164" t="s">
        <v>456</v>
      </c>
      <c r="Y12" s="165" t="s">
        <v>460</v>
      </c>
      <c r="Z12" s="172" t="s">
        <v>461</v>
      </c>
      <c r="AA12" s="172" t="s">
        <v>462</v>
      </c>
      <c r="AB12" s="172" t="s">
        <v>463</v>
      </c>
      <c r="AC12" s="53" t="s">
        <v>502</v>
      </c>
      <c r="AG12" s="311"/>
      <c r="AH12" s="311"/>
      <c r="AI12" s="311"/>
      <c r="AJ12" s="53"/>
      <c r="AN12" s="42"/>
    </row>
    <row r="13" spans="1:40" x14ac:dyDescent="0.3">
      <c r="A13" s="16" t="s">
        <v>550</v>
      </c>
      <c r="B13" s="18"/>
      <c r="C13" s="14"/>
      <c r="D13" s="16"/>
      <c r="E13" s="16"/>
      <c r="F13" s="16"/>
      <c r="G13" s="16"/>
      <c r="H13" s="16"/>
      <c r="I13" s="17"/>
      <c r="J13" s="2"/>
      <c r="K13" s="29"/>
      <c r="L13" s="37">
        <v>26181898.059999999</v>
      </c>
      <c r="M13" s="37">
        <f>N13-L13</f>
        <v>0</v>
      </c>
      <c r="N13" s="37">
        <v>26181898.059999999</v>
      </c>
      <c r="T13" s="234"/>
      <c r="U13" s="234"/>
      <c r="V13" s="234"/>
      <c r="W13" s="234"/>
      <c r="X13" s="234"/>
      <c r="Y13" s="234"/>
      <c r="Z13" s="234"/>
      <c r="AA13" s="234"/>
      <c r="AB13" s="234"/>
      <c r="AC13" s="53"/>
      <c r="AE13" s="42"/>
      <c r="AG13" s="311"/>
      <c r="AH13" s="311"/>
      <c r="AI13" s="311"/>
      <c r="AJ13" s="53"/>
      <c r="AN13" s="438"/>
    </row>
    <row r="14" spans="1:40" x14ac:dyDescent="0.3">
      <c r="A14" s="16" t="s">
        <v>263</v>
      </c>
      <c r="B14" s="18"/>
      <c r="C14" s="16"/>
      <c r="D14" s="16"/>
      <c r="E14" s="16"/>
      <c r="F14" s="16"/>
      <c r="G14" s="29"/>
      <c r="H14" s="16"/>
      <c r="I14" s="16"/>
      <c r="J14" s="511">
        <v>-1201386694.0899999</v>
      </c>
      <c r="K14" s="29"/>
      <c r="L14" s="37">
        <v>-1426981951.24</v>
      </c>
      <c r="M14" s="37">
        <f>N14-L14</f>
        <v>0</v>
      </c>
      <c r="N14" s="68">
        <v>-1426981951.24</v>
      </c>
      <c r="P14" s="38" t="s">
        <v>388</v>
      </c>
      <c r="Q14" s="139"/>
      <c r="S14" s="53" t="s">
        <v>443</v>
      </c>
      <c r="T14" s="129">
        <f>-[3]TB!$V$118+[3]TB!$W$118</f>
        <v>-277757602.38</v>
      </c>
      <c r="U14" s="129">
        <f>-[4]TB!$V$118+[4]TB!$W$118</f>
        <v>-286509291.38</v>
      </c>
      <c r="V14" s="129">
        <f>-[5]TB!$V$118+[5]TB!$W$118</f>
        <v>-17058511.459999997</v>
      </c>
      <c r="W14" s="129">
        <f>-[6]TB!$F$122-[6]TB!$H$122-[6]TB!$N$122-[6]TB!$P$122+[6]TB!$Q$122-[6]TB!$T$122</f>
        <v>-73763746.918987021</v>
      </c>
      <c r="X14" s="129">
        <f>-[7]TB!$F$122+[7]TB!$G$122-[7]TB!$H$122+[7]TB!$I$122-[7]TB!$N$122+[7]TB!$O$122-[7]TB!$P$122+[7]TB!$S$122-[7]TB!$T$122</f>
        <v>-35501933.730000004</v>
      </c>
      <c r="Y14" s="129">
        <f>-8090134.23+767338.5-1235000-6987608.61-1733714.29+209080-2075000-74100-312000</f>
        <v>-19531138.629999999</v>
      </c>
      <c r="Z14" s="129">
        <f>-[8]TB!$V$122+[8]TB!$W$122</f>
        <v>-126876196.63000001</v>
      </c>
      <c r="AA14" s="129">
        <f>-[9]TB!$V$122+[9]TB!$W$122</f>
        <v>-119119962.27999999</v>
      </c>
      <c r="AB14" s="129">
        <f>-[10]TB!$V$122+[10]TB!$W$122</f>
        <v>-188261527.96999997</v>
      </c>
      <c r="AC14" s="129">
        <f>SUM(Z14:AB14)</f>
        <v>-434257686.88</v>
      </c>
      <c r="AG14" s="129"/>
      <c r="AH14" s="129"/>
      <c r="AI14" s="129"/>
      <c r="AJ14" s="129"/>
    </row>
    <row r="15" spans="1:40" x14ac:dyDescent="0.3">
      <c r="A15" s="16" t="s">
        <v>264</v>
      </c>
      <c r="B15" s="18"/>
      <c r="C15" s="16"/>
      <c r="D15" s="16"/>
      <c r="E15" s="16"/>
      <c r="F15" s="16"/>
      <c r="G15" s="16"/>
      <c r="H15" s="16"/>
      <c r="I15" s="16"/>
      <c r="J15" s="57">
        <f>J12+J14</f>
        <v>114843771</v>
      </c>
      <c r="K15" s="61"/>
      <c r="L15" s="156">
        <f>SUM(L12:L14)</f>
        <v>232111054.5</v>
      </c>
      <c r="M15" s="156">
        <f>SUM(M12:M14)</f>
        <v>3770864.1359999981</v>
      </c>
      <c r="N15" s="49">
        <f>N12+N13+N14</f>
        <v>235881918.63599992</v>
      </c>
      <c r="O15" s="42">
        <f>N22-'FC1-Pre TB 2024'!E124</f>
        <v>-3.167957067489624E-3</v>
      </c>
      <c r="P15" s="42">
        <f>1094079.59-J15</f>
        <v>-113749691.41</v>
      </c>
      <c r="Q15" s="123">
        <f>'tb control'!E123</f>
        <v>114843771</v>
      </c>
      <c r="T15" s="42"/>
      <c r="U15" s="42"/>
      <c r="Y15" s="42"/>
      <c r="Z15" s="174"/>
      <c r="AA15" s="174"/>
      <c r="AB15" s="174"/>
      <c r="AC15" s="42">
        <f>AC14+J23</f>
        <v>-434257686.88</v>
      </c>
      <c r="AM15" s="42"/>
      <c r="AN15" s="42">
        <f>N15-'Restated FC1-Pre TB 2023'!I120</f>
        <v>-4.0000677108764648E-3</v>
      </c>
    </row>
    <row r="16" spans="1:40" x14ac:dyDescent="0.3">
      <c r="A16" s="16"/>
      <c r="B16" s="18"/>
      <c r="C16" s="16"/>
      <c r="D16" s="16"/>
      <c r="E16" s="16"/>
      <c r="F16" s="16"/>
      <c r="G16" s="16"/>
      <c r="H16" s="16"/>
      <c r="I16" s="16"/>
      <c r="J16" s="16"/>
      <c r="K16" s="29"/>
      <c r="L16" s="37"/>
      <c r="M16" s="37"/>
      <c r="N16" s="37"/>
      <c r="O16" s="42">
        <f>J15-'FC1-Pre TB 2024'!E124</f>
        <v>0</v>
      </c>
      <c r="P16" s="42">
        <v>1094079.5900000001</v>
      </c>
      <c r="Q16" s="123">
        <f>J15-Q15</f>
        <v>0</v>
      </c>
      <c r="T16" s="42"/>
      <c r="Z16" s="42"/>
      <c r="AA16" s="42"/>
    </row>
    <row r="17" spans="1:39" x14ac:dyDescent="0.3">
      <c r="A17" s="13" t="s">
        <v>481</v>
      </c>
      <c r="B17" s="18"/>
      <c r="C17" s="16"/>
      <c r="D17" s="16"/>
      <c r="E17" s="16"/>
      <c r="F17" s="16"/>
      <c r="G17" s="16"/>
      <c r="H17" s="16"/>
      <c r="I17" s="16"/>
      <c r="J17" s="16"/>
      <c r="K17" s="29"/>
      <c r="L17" s="37"/>
      <c r="M17" s="37"/>
      <c r="N17" s="37"/>
      <c r="O17" s="42"/>
      <c r="P17" s="53" t="s">
        <v>421</v>
      </c>
      <c r="Q17" s="124">
        <f>Q16-J23</f>
        <v>0</v>
      </c>
      <c r="Z17" s="42"/>
      <c r="AA17" s="173"/>
    </row>
    <row r="18" spans="1:39" x14ac:dyDescent="0.3">
      <c r="A18" s="16" t="s">
        <v>338</v>
      </c>
      <c r="B18" s="18"/>
      <c r="C18" s="14"/>
      <c r="D18" s="16"/>
      <c r="E18" s="16"/>
      <c r="F18" s="16"/>
      <c r="G18" s="16"/>
      <c r="H18" s="16"/>
      <c r="I18" s="14"/>
      <c r="J18" s="2">
        <f>FC1DIS!I283</f>
        <v>786613546.35000169</v>
      </c>
      <c r="K18" s="29"/>
      <c r="L18" s="37">
        <v>1188548747.6871257</v>
      </c>
      <c r="M18" s="37">
        <f t="shared" ref="M18:M21" si="0">N18-L18</f>
        <v>-1205157558.2262936</v>
      </c>
      <c r="N18" s="37">
        <f>FC1DIS!N283</f>
        <v>-16608810.539167881</v>
      </c>
      <c r="AA18" s="173"/>
      <c r="AM18" s="42"/>
    </row>
    <row r="19" spans="1:39" x14ac:dyDescent="0.3">
      <c r="A19" s="16" t="s">
        <v>422</v>
      </c>
      <c r="B19" s="18"/>
      <c r="C19" s="14"/>
      <c r="D19" s="16"/>
      <c r="E19" s="16"/>
      <c r="F19" s="16"/>
      <c r="G19" s="16"/>
      <c r="H19" s="16"/>
      <c r="I19" s="17"/>
      <c r="J19" s="2">
        <f>-'FC1-Pre TB 2024'!D15</f>
        <v>-172292235.08000001</v>
      </c>
      <c r="K19" s="29"/>
      <c r="L19" s="37">
        <v>-105347840.52</v>
      </c>
      <c r="M19" s="37">
        <f t="shared" si="0"/>
        <v>0</v>
      </c>
      <c r="N19" s="37">
        <v>-105347840.52</v>
      </c>
      <c r="T19" s="129"/>
    </row>
    <row r="20" spans="1:39" x14ac:dyDescent="0.3">
      <c r="A20" s="16" t="s">
        <v>471</v>
      </c>
      <c r="B20" s="18"/>
      <c r="C20" s="14"/>
      <c r="D20" s="16"/>
      <c r="E20" s="16"/>
      <c r="F20" s="16"/>
      <c r="G20" s="16"/>
      <c r="H20" s="16"/>
      <c r="I20" s="17"/>
      <c r="J20" s="2">
        <f>-'FC1-Pre TB 2024'!D20</f>
        <v>-466563.92</v>
      </c>
      <c r="K20" s="29"/>
      <c r="L20" s="37">
        <v>-342664.82</v>
      </c>
      <c r="M20" s="37">
        <f t="shared" si="0"/>
        <v>0</v>
      </c>
      <c r="N20" s="37">
        <v>-342664.82</v>
      </c>
      <c r="T20" s="129"/>
    </row>
    <row r="21" spans="1:39" x14ac:dyDescent="0.3">
      <c r="A21" s="16" t="s">
        <v>472</v>
      </c>
      <c r="B21" s="18"/>
      <c r="C21" s="14"/>
      <c r="D21" s="16"/>
      <c r="E21" s="16"/>
      <c r="F21" s="16"/>
      <c r="G21" s="16"/>
      <c r="H21" s="16"/>
      <c r="I21" s="17"/>
      <c r="J21" s="2">
        <f>'FC1-Pre TB 2024'!E21</f>
        <v>1534539.18</v>
      </c>
      <c r="K21" s="29"/>
      <c r="L21" s="37">
        <v>1261168.24</v>
      </c>
      <c r="M21" s="37">
        <f t="shared" si="0"/>
        <v>0</v>
      </c>
      <c r="N21" s="37">
        <v>1261168.24</v>
      </c>
      <c r="T21" s="129"/>
    </row>
    <row r="22" spans="1:39" ht="17.25" thickBot="1" x14ac:dyDescent="0.35">
      <c r="A22" s="16" t="s">
        <v>549</v>
      </c>
      <c r="B22" s="18"/>
      <c r="C22" s="32"/>
      <c r="D22" s="16"/>
      <c r="E22" s="16"/>
      <c r="F22" s="16"/>
      <c r="G22" s="16"/>
      <c r="H22" s="16"/>
      <c r="I22" s="44" t="s">
        <v>182</v>
      </c>
      <c r="J22" s="33">
        <f>SUM(J15:J21)</f>
        <v>730233057.53000164</v>
      </c>
      <c r="K22" s="41" t="s">
        <v>182</v>
      </c>
      <c r="L22" s="33">
        <f>L15+L18+L19+L20+L21</f>
        <v>1316230465.0871258</v>
      </c>
      <c r="M22" s="33">
        <f>M15+M18+M19+M20+M21</f>
        <v>-1201386694.0902936</v>
      </c>
      <c r="N22" s="33">
        <f>SUM(N15:N21)</f>
        <v>114843770.99683204</v>
      </c>
      <c r="O22" s="42">
        <f>N22-'FC1-Pre TB 2024'!E124</f>
        <v>-3.167957067489624E-3</v>
      </c>
      <c r="P22" s="42"/>
      <c r="Q22" s="123">
        <f>Q15-J23</f>
        <v>114843771</v>
      </c>
      <c r="AA22" s="42"/>
      <c r="AM22" s="42"/>
    </row>
    <row r="23" spans="1:39" ht="17.25" thickTop="1" x14ac:dyDescent="0.3">
      <c r="A23" s="16"/>
      <c r="B23" s="16"/>
      <c r="C23" s="16"/>
      <c r="D23" s="16"/>
      <c r="E23" s="16"/>
      <c r="F23" s="16"/>
      <c r="G23" s="16"/>
      <c r="H23" s="16"/>
      <c r="I23" s="16"/>
      <c r="J23" s="143">
        <f>J22-'FC1-Post TB 2024'!E122</f>
        <v>0</v>
      </c>
      <c r="K23" s="43"/>
      <c r="L23" s="37">
        <f>L22-[11]FC1SGE!$J$22</f>
        <v>2.1457672119140625E-6</v>
      </c>
      <c r="M23" s="37">
        <f>M22-FC1SFP!K238</f>
        <v>-2.9857158660888672E-3</v>
      </c>
      <c r="N23" s="37">
        <f>N22-J15</f>
        <v>-3.167957067489624E-3</v>
      </c>
      <c r="P23" s="42"/>
      <c r="AA23" s="42"/>
      <c r="AM23" s="42"/>
    </row>
    <row r="24" spans="1:39" x14ac:dyDescent="0.3">
      <c r="A24" s="16"/>
      <c r="B24" s="16"/>
      <c r="C24" s="16"/>
      <c r="D24" s="16"/>
      <c r="E24" s="16"/>
      <c r="F24" s="16"/>
      <c r="G24" s="16"/>
      <c r="H24" s="16"/>
      <c r="I24" s="16"/>
      <c r="J24" s="83"/>
      <c r="K24" s="29"/>
      <c r="L24" s="37"/>
      <c r="M24" s="37"/>
      <c r="N24" s="37"/>
      <c r="O24" s="42">
        <f>N22-[12]FC1SGE!$L$20</f>
        <v>-1042299925.3331667</v>
      </c>
      <c r="AM24" s="42"/>
    </row>
    <row r="25" spans="1:39" x14ac:dyDescent="0.3">
      <c r="A25" s="16"/>
      <c r="B25" s="16"/>
      <c r="C25" s="16"/>
      <c r="D25" s="16"/>
      <c r="E25" s="16"/>
      <c r="F25" s="16"/>
      <c r="G25" s="46" t="s">
        <v>95</v>
      </c>
      <c r="H25" s="4"/>
      <c r="I25" s="2"/>
      <c r="J25" s="37"/>
      <c r="K25" s="29"/>
      <c r="L25" s="37"/>
      <c r="M25" s="37"/>
      <c r="N25" s="37"/>
      <c r="O25" s="42">
        <f>J22-[13]TB!$AC$120</f>
        <v>-902678050.14999771</v>
      </c>
      <c r="Q25" s="124">
        <f>-73022946.87+16781.28-35133409.4+431487.5-119626897.81+178174</f>
        <v>-227156811.30000001</v>
      </c>
    </row>
    <row r="26" spans="1:39" x14ac:dyDescent="0.3">
      <c r="A26" s="16"/>
      <c r="B26" s="16"/>
      <c r="C26" s="16"/>
      <c r="D26" s="16"/>
      <c r="E26" s="16"/>
      <c r="F26" s="16"/>
      <c r="G26" s="46"/>
      <c r="H26" s="4"/>
      <c r="I26" s="2"/>
      <c r="J26" s="29"/>
      <c r="K26" s="29"/>
      <c r="L26" s="37"/>
      <c r="M26" s="37"/>
      <c r="N26" s="37"/>
      <c r="O26" s="42"/>
      <c r="Q26" s="124"/>
    </row>
    <row r="27" spans="1:39" x14ac:dyDescent="0.3">
      <c r="A27" s="16"/>
      <c r="B27" s="16"/>
      <c r="C27" s="16"/>
      <c r="D27" s="16"/>
      <c r="E27" s="16"/>
      <c r="F27" s="16"/>
      <c r="G27" s="50"/>
      <c r="H27" s="4"/>
      <c r="I27" s="2"/>
      <c r="J27" s="29"/>
      <c r="K27" s="29"/>
      <c r="L27" s="37"/>
      <c r="M27" s="37"/>
      <c r="N27" s="37"/>
      <c r="P27" s="42"/>
      <c r="Q27" s="124"/>
    </row>
    <row r="28" spans="1:39" x14ac:dyDescent="0.3">
      <c r="A28" s="16"/>
      <c r="B28" s="16"/>
      <c r="C28" s="16"/>
      <c r="D28" s="16"/>
      <c r="E28" s="16"/>
      <c r="F28" s="16"/>
      <c r="G28" s="60"/>
      <c r="H28" s="49"/>
      <c r="I28" s="51" t="s">
        <v>389</v>
      </c>
      <c r="J28" s="61"/>
      <c r="K28" s="29"/>
      <c r="L28" s="37"/>
      <c r="M28" s="37"/>
      <c r="N28" s="37"/>
      <c r="P28" s="42"/>
    </row>
    <row r="29" spans="1:39" x14ac:dyDescent="0.3">
      <c r="G29" s="50"/>
      <c r="H29" s="4"/>
      <c r="I29" s="52" t="s">
        <v>363</v>
      </c>
      <c r="J29" s="29"/>
      <c r="K29" s="29"/>
      <c r="L29" s="37"/>
      <c r="M29" s="37"/>
      <c r="N29" s="37"/>
    </row>
    <row r="30" spans="1:39" x14ac:dyDescent="0.3">
      <c r="J30" s="16"/>
      <c r="K30" s="29"/>
      <c r="L30" s="37"/>
      <c r="M30" s="37"/>
      <c r="N30" s="37"/>
    </row>
    <row r="31" spans="1:39" hidden="1" x14ac:dyDescent="0.3">
      <c r="J31" s="54">
        <f>J22-'FC1-Post TB 2024'!E122</f>
        <v>0</v>
      </c>
      <c r="N31" s="42">
        <f>N22-'FC1-Pre TB 2024'!E124</f>
        <v>-3.167957067489624E-3</v>
      </c>
    </row>
    <row r="32" spans="1:39" hidden="1" x14ac:dyDescent="0.3">
      <c r="J32" s="54"/>
      <c r="N32" s="42">
        <f>N22-[14]FC1SGE!$L$22</f>
        <v>-1092338822.3731658</v>
      </c>
    </row>
    <row r="33" spans="10:10" x14ac:dyDescent="0.3">
      <c r="J33" s="54"/>
    </row>
    <row r="34" spans="10:10" x14ac:dyDescent="0.3">
      <c r="J34" s="54"/>
    </row>
    <row r="35" spans="10:10" x14ac:dyDescent="0.3">
      <c r="J35" s="54"/>
    </row>
    <row r="36" spans="10:10" x14ac:dyDescent="0.3">
      <c r="J36" s="54"/>
    </row>
    <row r="39" spans="10:10" x14ac:dyDescent="0.3">
      <c r="J39" s="54"/>
    </row>
  </sheetData>
  <mergeCells count="6">
    <mergeCell ref="T11:X11"/>
    <mergeCell ref="A1:O1"/>
    <mergeCell ref="A2:O2"/>
    <mergeCell ref="A3:O3"/>
    <mergeCell ref="A4:O4"/>
    <mergeCell ref="A5:O5"/>
  </mergeCells>
  <printOptions horizontalCentered="1"/>
  <pageMargins left="0.95" right="0.7" top="0.75" bottom="0.75" header="0.3" footer="0.3"/>
  <pageSetup paperSize="9" scale="57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rgb="FFFFFF00"/>
    <pageSetUpPr fitToPage="1"/>
  </sheetPr>
  <dimension ref="A1:AF274"/>
  <sheetViews>
    <sheetView view="pageBreakPreview" zoomScaleNormal="85" zoomScaleSheetLayoutView="100" workbookViewId="0">
      <pane xSplit="3" ySplit="9" topLeftCell="D100" activePane="bottomRight" state="frozen"/>
      <selection activeCell="F121" sqref="F121"/>
      <selection pane="topRight" activeCell="F121" sqref="F121"/>
      <selection pane="bottomLeft" activeCell="F121" sqref="F121"/>
      <selection pane="bottomRight" activeCell="AB113" sqref="AB113"/>
    </sheetView>
  </sheetViews>
  <sheetFormatPr defaultColWidth="9.140625" defaultRowHeight="15.75" x14ac:dyDescent="0.25"/>
  <cols>
    <col min="1" max="1" width="48.7109375" style="400" customWidth="1"/>
    <col min="2" max="2" width="8.28515625" style="402" hidden="1" customWidth="1"/>
    <col min="3" max="3" width="12.42578125" style="406" bestFit="1" customWidth="1"/>
    <col min="4" max="5" width="18.140625" style="393" customWidth="1"/>
    <col min="6" max="6" width="9.140625" style="362" hidden="1" customWidth="1"/>
    <col min="7" max="7" width="16.7109375" style="302" hidden="1" customWidth="1"/>
    <col min="8" max="8" width="9.140625" style="302" hidden="1" customWidth="1"/>
    <col min="9" max="9" width="15.140625" style="306" hidden="1" customWidth="1"/>
    <col min="10" max="10" width="16" style="306" hidden="1" customWidth="1"/>
    <col min="11" max="11" width="9.140625" style="302" hidden="1" customWidth="1"/>
    <col min="12" max="13" width="16" style="302" hidden="1" customWidth="1"/>
    <col min="14" max="14" width="9.140625" style="302" hidden="1" customWidth="1"/>
    <col min="15" max="15" width="12.5703125" style="306" hidden="1" customWidth="1"/>
    <col min="16" max="16" width="12.42578125" style="306" hidden="1" customWidth="1"/>
    <col min="17" max="17" width="17" style="306" hidden="1" customWidth="1"/>
    <col min="18" max="18" width="14.5703125" style="306" hidden="1" customWidth="1"/>
    <col min="19" max="19" width="9.140625" style="302" hidden="1" customWidth="1"/>
    <col min="20" max="20" width="18.85546875" style="306" hidden="1" customWidth="1"/>
    <col min="21" max="21" width="16.28515625" style="306" hidden="1" customWidth="1"/>
    <col min="22" max="22" width="16" style="306" hidden="1" customWidth="1"/>
    <col min="23" max="23" width="14.5703125" style="306" hidden="1" customWidth="1"/>
    <col min="24" max="24" width="14.85546875" style="306" hidden="1" customWidth="1"/>
    <col min="25" max="25" width="16" style="306" hidden="1" customWidth="1"/>
    <col min="26" max="27" width="9.140625" style="302" hidden="1" customWidth="1"/>
    <col min="28" max="28" width="16.5703125" style="302" customWidth="1"/>
    <col min="29" max="30" width="9.140625" style="302" hidden="1" customWidth="1"/>
    <col min="31" max="31" width="17" style="306" hidden="1" customWidth="1"/>
    <col min="32" max="16384" width="9.140625" style="302"/>
  </cols>
  <sheetData>
    <row r="1" spans="1:28" x14ac:dyDescent="0.25">
      <c r="A1" s="555" t="s">
        <v>0</v>
      </c>
      <c r="B1" s="555"/>
      <c r="C1" s="555"/>
      <c r="D1" s="555"/>
      <c r="E1" s="555"/>
    </row>
    <row r="2" spans="1:28" x14ac:dyDescent="0.25">
      <c r="A2" s="555" t="s">
        <v>1</v>
      </c>
      <c r="B2" s="555"/>
      <c r="C2" s="555"/>
      <c r="D2" s="555"/>
      <c r="E2" s="555"/>
    </row>
    <row r="3" spans="1:28" x14ac:dyDescent="0.25">
      <c r="A3" s="556" t="s">
        <v>535</v>
      </c>
      <c r="B3" s="556"/>
      <c r="C3" s="555"/>
      <c r="D3" s="556"/>
      <c r="E3" s="556"/>
    </row>
    <row r="4" spans="1:28" x14ac:dyDescent="0.25">
      <c r="A4" s="557" t="s">
        <v>365</v>
      </c>
      <c r="B4" s="557"/>
      <c r="C4" s="558"/>
      <c r="D4" s="557"/>
      <c r="E4" s="557"/>
    </row>
    <row r="5" spans="1:28" x14ac:dyDescent="0.25">
      <c r="A5" s="559" t="str">
        <f>'[11]tb control'!A5:E5</f>
        <v>As at December 31, 2023</v>
      </c>
      <c r="B5" s="559"/>
      <c r="C5" s="559"/>
      <c r="D5" s="559"/>
      <c r="E5" s="559"/>
      <c r="J5" s="306">
        <f>SUM(D10:D114)</f>
        <v>632527574.28083348</v>
      </c>
    </row>
    <row r="6" spans="1:28" x14ac:dyDescent="0.25">
      <c r="A6" s="363"/>
      <c r="B6" s="364"/>
      <c r="C6" s="365"/>
      <c r="D6" s="366"/>
      <c r="E6" s="366"/>
      <c r="J6" s="306">
        <f>SUM(E10:E114)</f>
        <v>510348483.10999995</v>
      </c>
    </row>
    <row r="7" spans="1:28" x14ac:dyDescent="0.25">
      <c r="A7" s="553" t="s">
        <v>81</v>
      </c>
      <c r="B7" s="367" t="s">
        <v>82</v>
      </c>
      <c r="C7" s="368" t="s">
        <v>178</v>
      </c>
      <c r="D7" s="369"/>
      <c r="E7" s="369"/>
      <c r="J7" s="370">
        <f>J5-J6</f>
        <v>122179091.17083353</v>
      </c>
    </row>
    <row r="8" spans="1:28" x14ac:dyDescent="0.25">
      <c r="A8" s="554"/>
      <c r="B8" s="371" t="s">
        <v>83</v>
      </c>
      <c r="C8" s="372" t="s">
        <v>83</v>
      </c>
      <c r="D8" s="373" t="s">
        <v>84</v>
      </c>
      <c r="E8" s="373" t="s">
        <v>85</v>
      </c>
    </row>
    <row r="9" spans="1:28" x14ac:dyDescent="0.25">
      <c r="A9" s="374"/>
      <c r="B9" s="99"/>
      <c r="C9" s="96"/>
      <c r="D9" s="375"/>
      <c r="E9" s="375"/>
    </row>
    <row r="10" spans="1:28" s="306" customFormat="1" x14ac:dyDescent="0.25">
      <c r="A10" s="349" t="s">
        <v>2</v>
      </c>
      <c r="B10" s="96"/>
      <c r="C10" s="96">
        <v>1010101000</v>
      </c>
      <c r="D10" s="303">
        <f>IFERROR(VLOOKUP($C10,'Restated FC1-Pre TB 2023'!$C$10:$H$271,6,FALSE),0)</f>
        <v>34448915.68</v>
      </c>
      <c r="E10" s="303">
        <f>IFERROR(VLOOKUP($C10,'Restated FC1-Pre TB 2023'!$C$10:$I$271,7,FALSE),0)</f>
        <v>0</v>
      </c>
      <c r="F10" s="362"/>
      <c r="G10" s="303"/>
      <c r="H10" s="350"/>
      <c r="I10" s="350"/>
      <c r="J10" s="350"/>
      <c r="K10" s="362"/>
      <c r="L10" s="362"/>
      <c r="M10" s="362"/>
      <c r="N10" s="362"/>
      <c r="O10" s="350"/>
      <c r="P10" s="350"/>
      <c r="Q10" s="350"/>
      <c r="R10" s="350"/>
      <c r="S10" s="362"/>
      <c r="T10" s="350">
        <f t="shared" ref="T10:T76" si="0">D10+E10</f>
        <v>34448915.68</v>
      </c>
      <c r="AB10" s="306">
        <f>D10+E10</f>
        <v>34448915.68</v>
      </c>
    </row>
    <row r="11" spans="1:28" s="306" customFormat="1" hidden="1" x14ac:dyDescent="0.25">
      <c r="A11" s="349" t="s">
        <v>228</v>
      </c>
      <c r="B11" s="96"/>
      <c r="C11" s="96">
        <v>1990102000</v>
      </c>
      <c r="D11" s="303">
        <f>IFERROR(VLOOKUP($C11,'Restated FC1-Pre TB 2023'!$C$10:$H$271,6,FALSE),0)</f>
        <v>0</v>
      </c>
      <c r="E11" s="303">
        <f>IFERROR(VLOOKUP($C11,'Restated FC1-Pre TB 2023'!$C$10:$I$271,7,FALSE),0)</f>
        <v>0</v>
      </c>
      <c r="F11" s="362"/>
      <c r="G11" s="303"/>
      <c r="H11" s="350"/>
      <c r="I11" s="350"/>
      <c r="J11" s="350"/>
      <c r="K11" s="362"/>
      <c r="L11" s="362"/>
      <c r="M11" s="362"/>
      <c r="N11" s="362"/>
      <c r="O11" s="350"/>
      <c r="P11" s="350"/>
      <c r="Q11" s="350"/>
      <c r="R11" s="350"/>
      <c r="S11" s="362"/>
      <c r="T11" s="350">
        <f t="shared" si="0"/>
        <v>0</v>
      </c>
      <c r="AB11" s="306">
        <f t="shared" ref="AB11:AB74" si="1">D11+E11</f>
        <v>0</v>
      </c>
    </row>
    <row r="12" spans="1:28" s="306" customFormat="1" hidden="1" x14ac:dyDescent="0.25">
      <c r="A12" s="349" t="s">
        <v>398</v>
      </c>
      <c r="B12" s="96"/>
      <c r="C12" s="96">
        <v>1990103000</v>
      </c>
      <c r="D12" s="303">
        <f>IFERROR(VLOOKUP($C12,'Restated FC1-Pre TB 2023'!$C$10:$H$271,6,FALSE),0)</f>
        <v>0</v>
      </c>
      <c r="E12" s="303">
        <f>IFERROR(VLOOKUP($C12,'Restated FC1-Pre TB 2023'!$C$10:$I$271,7,FALSE),0)</f>
        <v>0</v>
      </c>
      <c r="F12" s="362"/>
      <c r="G12" s="303"/>
      <c r="H12" s="350"/>
      <c r="I12" s="350"/>
      <c r="J12" s="350"/>
      <c r="K12" s="362"/>
      <c r="L12" s="362"/>
      <c r="M12" s="362"/>
      <c r="N12" s="362"/>
      <c r="O12" s="350"/>
      <c r="P12" s="350"/>
      <c r="Q12" s="350"/>
      <c r="R12" s="350"/>
      <c r="S12" s="362"/>
      <c r="T12" s="350">
        <f t="shared" si="0"/>
        <v>0</v>
      </c>
      <c r="AB12" s="306">
        <f t="shared" si="1"/>
        <v>0</v>
      </c>
    </row>
    <row r="13" spans="1:28" s="306" customFormat="1" x14ac:dyDescent="0.25">
      <c r="A13" s="349" t="s">
        <v>223</v>
      </c>
      <c r="B13" s="96"/>
      <c r="C13" s="96">
        <v>1990302000</v>
      </c>
      <c r="D13" s="303">
        <f>IFERROR(VLOOKUP($C13,'Restated FC1-Pre TB 2023'!$C$10:$H$271,6,FALSE),0)</f>
        <v>60910.400000000001</v>
      </c>
      <c r="E13" s="303">
        <f>IFERROR(VLOOKUP($C13,'Restated FC1-Pre TB 2023'!$C$10:$I$271,7,FALSE),0)</f>
        <v>0</v>
      </c>
      <c r="F13" s="362"/>
      <c r="G13" s="303"/>
      <c r="H13" s="350"/>
      <c r="I13" s="350"/>
      <c r="J13" s="350"/>
      <c r="K13" s="362"/>
      <c r="L13" s="362"/>
      <c r="M13" s="362"/>
      <c r="N13" s="362"/>
      <c r="O13" s="350"/>
      <c r="P13" s="350"/>
      <c r="Q13" s="350"/>
      <c r="R13" s="350"/>
      <c r="S13" s="362"/>
      <c r="T13" s="350"/>
      <c r="AB13" s="306">
        <f t="shared" si="1"/>
        <v>60910.400000000001</v>
      </c>
    </row>
    <row r="14" spans="1:28" s="306" customFormat="1" x14ac:dyDescent="0.25">
      <c r="A14" s="349" t="s">
        <v>3</v>
      </c>
      <c r="B14" s="96"/>
      <c r="C14" s="96">
        <v>1010102000</v>
      </c>
      <c r="D14" s="303">
        <f>IFERROR(VLOOKUP($C14,'Restated FC1-Pre TB 2023'!$C$10:$H$271,6,FALSE),0)</f>
        <v>429743</v>
      </c>
      <c r="E14" s="303">
        <f>IFERROR(VLOOKUP($C14,'Restated FC1-Pre TB 2023'!$C$10:$I$271,7,FALSE),0)</f>
        <v>0</v>
      </c>
      <c r="F14" s="362"/>
      <c r="G14" s="303"/>
      <c r="H14" s="350"/>
      <c r="I14" s="350"/>
      <c r="J14" s="350"/>
      <c r="K14" s="362"/>
      <c r="L14" s="362"/>
      <c r="M14" s="362"/>
      <c r="N14" s="362"/>
      <c r="O14" s="350"/>
      <c r="P14" s="350"/>
      <c r="Q14" s="350"/>
      <c r="R14" s="350"/>
      <c r="S14" s="362"/>
      <c r="T14" s="350">
        <f t="shared" si="0"/>
        <v>429743</v>
      </c>
      <c r="AB14" s="306">
        <f t="shared" si="1"/>
        <v>429743</v>
      </c>
    </row>
    <row r="15" spans="1:28" s="306" customFormat="1" ht="31.5" hidden="1" x14ac:dyDescent="0.25">
      <c r="A15" s="349" t="s">
        <v>97</v>
      </c>
      <c r="B15" s="96"/>
      <c r="C15" s="96">
        <v>1010404000</v>
      </c>
      <c r="D15" s="303">
        <f>IFERROR(VLOOKUP($C15,'Restated FC1-Pre TB 2023'!$C$10:$H$271,6,FALSE),0)</f>
        <v>0</v>
      </c>
      <c r="E15" s="303">
        <f>IFERROR(VLOOKUP($C15,'Restated FC1-Pre TB 2023'!$C$10:$I$271,7,FALSE),0)</f>
        <v>0</v>
      </c>
      <c r="F15" s="376"/>
      <c r="G15" s="377"/>
      <c r="H15" s="378"/>
      <c r="I15" s="378"/>
      <c r="J15" s="378"/>
      <c r="K15" s="376"/>
      <c r="L15" s="376"/>
      <c r="M15" s="376"/>
      <c r="N15" s="376"/>
      <c r="O15" s="378"/>
      <c r="P15" s="378"/>
      <c r="Q15" s="378"/>
      <c r="R15" s="378"/>
      <c r="S15" s="376"/>
      <c r="T15" s="350">
        <f t="shared" si="0"/>
        <v>0</v>
      </c>
      <c r="U15" s="379"/>
      <c r="AB15" s="306">
        <f t="shared" si="1"/>
        <v>0</v>
      </c>
    </row>
    <row r="16" spans="1:28" s="306" customFormat="1" hidden="1" x14ac:dyDescent="0.25">
      <c r="A16" s="349" t="s">
        <v>98</v>
      </c>
      <c r="B16" s="96"/>
      <c r="C16" s="96">
        <v>1010202016</v>
      </c>
      <c r="D16" s="303">
        <f>IFERROR(VLOOKUP($C16,'Restated FC1-Pre TB 2023'!$C$10:$H$271,6,FALSE),0)</f>
        <v>0</v>
      </c>
      <c r="E16" s="303">
        <f>IFERROR(VLOOKUP($C16,'Restated FC1-Pre TB 2023'!$C$10:$I$271,7,FALSE),0)</f>
        <v>0</v>
      </c>
      <c r="F16" s="362"/>
      <c r="G16" s="303"/>
      <c r="H16" s="350"/>
      <c r="I16" s="350"/>
      <c r="J16" s="350"/>
      <c r="K16" s="362"/>
      <c r="L16" s="362"/>
      <c r="M16" s="362"/>
      <c r="N16" s="362"/>
      <c r="O16" s="350"/>
      <c r="P16" s="350"/>
      <c r="Q16" s="350"/>
      <c r="R16" s="350"/>
      <c r="S16" s="362"/>
      <c r="T16" s="350">
        <f t="shared" si="0"/>
        <v>0</v>
      </c>
      <c r="AB16" s="306">
        <f t="shared" si="1"/>
        <v>0</v>
      </c>
    </row>
    <row r="17" spans="1:32" s="306" customFormat="1" x14ac:dyDescent="0.25">
      <c r="A17" s="349" t="s">
        <v>99</v>
      </c>
      <c r="B17" s="99"/>
      <c r="C17" s="96">
        <v>1010202024</v>
      </c>
      <c r="D17" s="303">
        <f>IFERROR(VLOOKUP($C17,'Restated FC1-Pre TB 2023'!$C$10:$H$271,6,FALSE),0)</f>
        <v>220000</v>
      </c>
      <c r="E17" s="303">
        <f>IFERROR(VLOOKUP($C17,'Restated FC1-Pre TB 2023'!$C$10:$I$271,7,FALSE),0)</f>
        <v>0</v>
      </c>
      <c r="F17" s="362"/>
      <c r="G17" s="303"/>
      <c r="H17" s="350"/>
      <c r="I17" s="350"/>
      <c r="J17" s="350"/>
      <c r="K17" s="362"/>
      <c r="L17" s="362"/>
      <c r="M17" s="362"/>
      <c r="N17" s="362"/>
      <c r="O17" s="350"/>
      <c r="P17" s="350"/>
      <c r="Q17" s="350"/>
      <c r="R17" s="350"/>
      <c r="S17" s="362"/>
      <c r="T17" s="350">
        <f t="shared" si="0"/>
        <v>220000</v>
      </c>
      <c r="AB17" s="306">
        <f t="shared" si="1"/>
        <v>220000</v>
      </c>
    </row>
    <row r="18" spans="1:32" s="379" customFormat="1" ht="31.5" hidden="1" x14ac:dyDescent="0.25">
      <c r="A18" s="349" t="s">
        <v>100</v>
      </c>
      <c r="B18" s="96"/>
      <c r="C18" s="96">
        <v>1010202030</v>
      </c>
      <c r="D18" s="303">
        <f>IFERROR(VLOOKUP($C18,'Restated FC1-Pre TB 2023'!$C$10:$H$271,6,FALSE),0)</f>
        <v>0</v>
      </c>
      <c r="E18" s="303">
        <f>IFERROR(VLOOKUP($C18,'Restated FC1-Pre TB 2023'!$C$10:$I$271,7,FALSE),0)</f>
        <v>0</v>
      </c>
      <c r="F18" s="362"/>
      <c r="G18" s="303"/>
      <c r="H18" s="350"/>
      <c r="I18" s="350"/>
      <c r="J18" s="350"/>
      <c r="K18" s="362"/>
      <c r="L18" s="362"/>
      <c r="M18" s="362"/>
      <c r="N18" s="362"/>
      <c r="O18" s="350"/>
      <c r="P18" s="350"/>
      <c r="Q18" s="350"/>
      <c r="R18" s="350"/>
      <c r="S18" s="362"/>
      <c r="T18" s="350">
        <f t="shared" si="0"/>
        <v>0</v>
      </c>
      <c r="U18" s="306"/>
      <c r="AB18" s="306">
        <f t="shared" si="1"/>
        <v>0</v>
      </c>
    </row>
    <row r="19" spans="1:32" s="306" customFormat="1" hidden="1" x14ac:dyDescent="0.25">
      <c r="A19" s="349" t="s">
        <v>4</v>
      </c>
      <c r="B19" s="96"/>
      <c r="C19" s="96">
        <v>1030101000</v>
      </c>
      <c r="D19" s="303">
        <f>IFERROR(VLOOKUP($C19,'Restated FC1-Pre TB 2023'!$C$10:$H$271,6,FALSE),0)</f>
        <v>0</v>
      </c>
      <c r="E19" s="303">
        <f>IFERROR(VLOOKUP($C19,'Restated FC1-Pre TB 2023'!$C$10:$I$271,7,FALSE),0)</f>
        <v>0</v>
      </c>
      <c r="F19" s="362"/>
      <c r="G19" s="303"/>
      <c r="H19" s="350"/>
      <c r="I19" s="350"/>
      <c r="J19" s="350"/>
      <c r="K19" s="362"/>
      <c r="L19" s="362"/>
      <c r="M19" s="362"/>
      <c r="N19" s="362"/>
      <c r="O19" s="350"/>
      <c r="P19" s="350"/>
      <c r="Q19" s="350"/>
      <c r="R19" s="350"/>
      <c r="S19" s="362"/>
      <c r="T19" s="350">
        <f t="shared" si="0"/>
        <v>0</v>
      </c>
      <c r="AB19" s="306">
        <f t="shared" si="1"/>
        <v>0</v>
      </c>
    </row>
    <row r="20" spans="1:32" s="306" customFormat="1" hidden="1" x14ac:dyDescent="0.25">
      <c r="A20" s="349" t="s">
        <v>385</v>
      </c>
      <c r="B20" s="96"/>
      <c r="C20" s="96">
        <v>1030501000</v>
      </c>
      <c r="D20" s="303">
        <f>IFERROR(VLOOKUP($C20,'Restated FC1-Pre TB 2023'!$C$10:$H$271,6,FALSE),0)</f>
        <v>0</v>
      </c>
      <c r="E20" s="303">
        <f>IFERROR(VLOOKUP($C20,'Restated FC1-Pre TB 2023'!$C$10:$I$271,7,FALSE),0)</f>
        <v>0</v>
      </c>
      <c r="F20" s="362"/>
      <c r="G20" s="303"/>
      <c r="H20" s="350"/>
      <c r="I20" s="350"/>
      <c r="J20" s="350"/>
      <c r="K20" s="362"/>
      <c r="L20" s="362"/>
      <c r="M20" s="362"/>
      <c r="N20" s="362"/>
      <c r="O20" s="350"/>
      <c r="P20" s="350"/>
      <c r="Q20" s="350"/>
      <c r="R20" s="350"/>
      <c r="S20" s="362"/>
      <c r="T20" s="350">
        <f t="shared" si="0"/>
        <v>0</v>
      </c>
      <c r="AB20" s="306">
        <f t="shared" si="1"/>
        <v>0</v>
      </c>
    </row>
    <row r="21" spans="1:32" s="306" customFormat="1" x14ac:dyDescent="0.25">
      <c r="A21" s="349" t="s">
        <v>5</v>
      </c>
      <c r="B21" s="142"/>
      <c r="C21" s="96">
        <v>1039902000</v>
      </c>
      <c r="D21" s="303">
        <f>IFERROR(VLOOKUP($C21,'Restated FC1-Pre TB 2023'!$C$10:$H$271,6,FALSE),0)</f>
        <v>12437.02</v>
      </c>
      <c r="E21" s="303">
        <f>IFERROR(VLOOKUP($C21,'Restated FC1-Pre TB 2023'!$C$10:$I$271,7,FALSE),0)</f>
        <v>0</v>
      </c>
      <c r="F21" s="362"/>
      <c r="G21" s="303"/>
      <c r="H21" s="350"/>
      <c r="I21" s="350"/>
      <c r="J21" s="350"/>
      <c r="K21" s="362"/>
      <c r="L21" s="362"/>
      <c r="M21" s="362"/>
      <c r="N21" s="362"/>
      <c r="O21" s="350"/>
      <c r="P21" s="350"/>
      <c r="Q21" s="350"/>
      <c r="R21" s="350"/>
      <c r="S21" s="362"/>
      <c r="T21" s="350">
        <f t="shared" si="0"/>
        <v>12437.02</v>
      </c>
      <c r="AB21" s="306">
        <f t="shared" si="1"/>
        <v>12437.02</v>
      </c>
    </row>
    <row r="22" spans="1:32" s="306" customFormat="1" hidden="1" x14ac:dyDescent="0.25">
      <c r="A22" s="349" t="s">
        <v>6</v>
      </c>
      <c r="B22" s="96"/>
      <c r="C22" s="96">
        <v>1030199000</v>
      </c>
      <c r="D22" s="303">
        <f>IFERROR(VLOOKUP($C22,'Restated FC1-Pre TB 2023'!$C$10:$H$271,6,FALSE),0)</f>
        <v>0</v>
      </c>
      <c r="E22" s="303">
        <f>IFERROR(VLOOKUP($C22,'Restated FC1-Pre TB 2023'!$C$10:$I$271,7,FALSE),0)</f>
        <v>0</v>
      </c>
      <c r="F22" s="362"/>
      <c r="G22" s="303"/>
      <c r="H22" s="350"/>
      <c r="I22" s="350"/>
      <c r="J22" s="350"/>
      <c r="K22" s="362"/>
      <c r="L22" s="362"/>
      <c r="M22" s="362"/>
      <c r="N22" s="362"/>
      <c r="O22" s="350"/>
      <c r="P22" s="350"/>
      <c r="Q22" s="350"/>
      <c r="R22" s="350"/>
      <c r="S22" s="362"/>
      <c r="T22" s="350">
        <f t="shared" si="0"/>
        <v>0</v>
      </c>
      <c r="AB22" s="306">
        <f t="shared" si="1"/>
        <v>0</v>
      </c>
    </row>
    <row r="23" spans="1:32" s="306" customFormat="1" hidden="1" x14ac:dyDescent="0.25">
      <c r="A23" s="349" t="s">
        <v>179</v>
      </c>
      <c r="B23" s="96"/>
      <c r="C23" s="96">
        <v>1010401000</v>
      </c>
      <c r="D23" s="380">
        <v>0</v>
      </c>
      <c r="E23" s="303">
        <f>IFERROR(VLOOKUP($C23,'Restated FC1-Pre TB 2023'!$C$10:$I$271,7,FALSE),0)</f>
        <v>0</v>
      </c>
      <c r="F23" s="362"/>
      <c r="G23" s="303"/>
      <c r="H23" s="350"/>
      <c r="I23" s="350"/>
      <c r="J23" s="350"/>
      <c r="K23" s="362"/>
      <c r="L23" s="350"/>
      <c r="M23" s="362"/>
      <c r="N23" s="362"/>
      <c r="O23" s="350"/>
      <c r="P23" s="350"/>
      <c r="Q23" s="350"/>
      <c r="R23" s="350"/>
      <c r="S23" s="362"/>
      <c r="T23" s="350">
        <f t="shared" si="0"/>
        <v>0</v>
      </c>
      <c r="AB23" s="306">
        <f t="shared" si="1"/>
        <v>0</v>
      </c>
      <c r="AF23" s="370" t="s">
        <v>537</v>
      </c>
    </row>
    <row r="24" spans="1:32" s="306" customFormat="1" x14ac:dyDescent="0.25">
      <c r="A24" s="349" t="s">
        <v>180</v>
      </c>
      <c r="B24" s="96"/>
      <c r="C24" s="96">
        <v>1010403000</v>
      </c>
      <c r="D24" s="303">
        <f>IFERROR(VLOOKUP($C24,'Restated FC1-Pre TB 2023'!$C$10:$H$271,6,FALSE),0)</f>
        <v>10020444.93</v>
      </c>
      <c r="E24" s="303">
        <f>IFERROR(VLOOKUP($C24,'Restated FC1-Pre TB 2023'!$C$10:$I$271,7,FALSE),0)</f>
        <v>0</v>
      </c>
      <c r="F24" s="362"/>
      <c r="G24" s="303"/>
      <c r="H24" s="350"/>
      <c r="I24" s="350"/>
      <c r="J24" s="350"/>
      <c r="K24" s="362"/>
      <c r="L24" s="362"/>
      <c r="M24" s="362"/>
      <c r="N24" s="362"/>
      <c r="O24" s="350"/>
      <c r="P24" s="350"/>
      <c r="Q24" s="350"/>
      <c r="R24" s="350"/>
      <c r="S24" s="362"/>
      <c r="T24" s="350">
        <f t="shared" si="0"/>
        <v>10020444.93</v>
      </c>
      <c r="AB24" s="306">
        <f t="shared" si="1"/>
        <v>10020444.93</v>
      </c>
    </row>
    <row r="25" spans="1:32" s="306" customFormat="1" hidden="1" x14ac:dyDescent="0.25">
      <c r="A25" s="349" t="s">
        <v>181</v>
      </c>
      <c r="B25" s="96"/>
      <c r="C25" s="96">
        <v>1010406000</v>
      </c>
      <c r="D25" s="303">
        <f>IFERROR(VLOOKUP($C25,'Restated FC1-Pre TB 2023'!$C$10:$H$271,6,FALSE),0)</f>
        <v>0</v>
      </c>
      <c r="E25" s="303">
        <f>IFERROR(VLOOKUP($C25,'Restated FC1-Pre TB 2023'!$C$10:$I$271,7,FALSE),0)</f>
        <v>0</v>
      </c>
      <c r="F25" s="362"/>
      <c r="G25" s="303"/>
      <c r="H25" s="350"/>
      <c r="I25" s="350"/>
      <c r="J25" s="350"/>
      <c r="K25" s="362"/>
      <c r="L25" s="362"/>
      <c r="M25" s="362"/>
      <c r="N25" s="362"/>
      <c r="O25" s="350"/>
      <c r="P25" s="350"/>
      <c r="Q25" s="350"/>
      <c r="R25" s="350"/>
      <c r="S25" s="362"/>
      <c r="T25" s="350">
        <f t="shared" si="0"/>
        <v>0</v>
      </c>
      <c r="AB25" s="306">
        <f t="shared" si="1"/>
        <v>0</v>
      </c>
    </row>
    <row r="26" spans="1:32" s="306" customFormat="1" hidden="1" x14ac:dyDescent="0.25">
      <c r="A26" s="349" t="s">
        <v>342</v>
      </c>
      <c r="B26" s="96"/>
      <c r="C26" s="96">
        <v>1010407000</v>
      </c>
      <c r="D26" s="303">
        <f>IFERROR(VLOOKUP($C26,'Restated FC1-Pre TB 2023'!$C$10:$H$271,6,FALSE),0)</f>
        <v>0</v>
      </c>
      <c r="E26" s="303">
        <f>IFERROR(VLOOKUP($C26,'Restated FC1-Pre TB 2023'!$C$10:$I$271,7,FALSE),0)</f>
        <v>0</v>
      </c>
      <c r="F26" s="362"/>
      <c r="G26" s="303"/>
      <c r="H26" s="350"/>
      <c r="I26" s="350"/>
      <c r="J26" s="350"/>
      <c r="K26" s="362"/>
      <c r="L26" s="362"/>
      <c r="M26" s="362"/>
      <c r="N26" s="362"/>
      <c r="O26" s="350"/>
      <c r="P26" s="350"/>
      <c r="Q26" s="350"/>
      <c r="R26" s="350"/>
      <c r="S26" s="362"/>
      <c r="T26" s="350">
        <f t="shared" si="0"/>
        <v>0</v>
      </c>
      <c r="AB26" s="306">
        <f t="shared" si="1"/>
        <v>0</v>
      </c>
    </row>
    <row r="27" spans="1:32" s="306" customFormat="1" hidden="1" x14ac:dyDescent="0.25">
      <c r="A27" s="349" t="s">
        <v>415</v>
      </c>
      <c r="B27" s="96"/>
      <c r="C27" s="96">
        <v>1010408000</v>
      </c>
      <c r="D27" s="380">
        <v>0</v>
      </c>
      <c r="E27" s="303">
        <f>IFERROR(VLOOKUP($C27,'Restated FC1-Pre TB 2023'!$C$10:$I$271,7,FALSE),0)</f>
        <v>0</v>
      </c>
      <c r="F27" s="362"/>
      <c r="G27" s="303"/>
      <c r="H27" s="350"/>
      <c r="I27" s="350"/>
      <c r="J27" s="350"/>
      <c r="K27" s="362"/>
      <c r="L27" s="362"/>
      <c r="M27" s="362"/>
      <c r="N27" s="362"/>
      <c r="O27" s="350"/>
      <c r="P27" s="350"/>
      <c r="Q27" s="350"/>
      <c r="R27" s="350"/>
      <c r="S27" s="362"/>
      <c r="T27" s="350">
        <f t="shared" si="0"/>
        <v>0</v>
      </c>
      <c r="AB27" s="306">
        <f t="shared" si="1"/>
        <v>0</v>
      </c>
      <c r="AF27" s="370" t="s">
        <v>537</v>
      </c>
    </row>
    <row r="28" spans="1:32" s="306" customFormat="1" hidden="1" x14ac:dyDescent="0.25">
      <c r="A28" s="349" t="s">
        <v>390</v>
      </c>
      <c r="B28" s="96"/>
      <c r="C28" s="96">
        <v>1010409000</v>
      </c>
      <c r="D28" s="303">
        <f>IFERROR(VLOOKUP($C28,'Restated FC1-Pre TB 2023'!$C$10:$H$271,6,FALSE),0)</f>
        <v>0</v>
      </c>
      <c r="E28" s="380">
        <v>0</v>
      </c>
      <c r="F28" s="362"/>
      <c r="G28" s="303"/>
      <c r="H28" s="350"/>
      <c r="I28" s="350"/>
      <c r="J28" s="350"/>
      <c r="K28" s="362"/>
      <c r="L28" s="362"/>
      <c r="M28" s="362"/>
      <c r="N28" s="362"/>
      <c r="O28" s="350"/>
      <c r="P28" s="350"/>
      <c r="Q28" s="350"/>
      <c r="R28" s="350"/>
      <c r="S28" s="362"/>
      <c r="T28" s="350">
        <f t="shared" si="0"/>
        <v>0</v>
      </c>
      <c r="AB28" s="306">
        <f t="shared" si="1"/>
        <v>0</v>
      </c>
      <c r="AF28" s="370" t="s">
        <v>537</v>
      </c>
    </row>
    <row r="29" spans="1:32" s="306" customFormat="1" hidden="1" x14ac:dyDescent="0.25">
      <c r="A29" s="349" t="s">
        <v>242</v>
      </c>
      <c r="B29" s="96"/>
      <c r="C29" s="96">
        <v>1030301000</v>
      </c>
      <c r="D29" s="303">
        <f>IFERROR(VLOOKUP($C29,'Restated FC1-Pre TB 2023'!$C$10:$H$271,6,FALSE),0)</f>
        <v>0</v>
      </c>
      <c r="E29" s="303">
        <f>IFERROR(VLOOKUP($C29,'Restated FC1-Pre TB 2023'!$C$10:$I$271,7,FALSE),0)</f>
        <v>0</v>
      </c>
      <c r="F29" s="362"/>
      <c r="G29" s="303"/>
      <c r="H29" s="350"/>
      <c r="I29" s="350"/>
      <c r="J29" s="350"/>
      <c r="K29" s="362"/>
      <c r="L29" s="362"/>
      <c r="M29" s="362"/>
      <c r="N29" s="362"/>
      <c r="O29" s="350"/>
      <c r="P29" s="350"/>
      <c r="Q29" s="350"/>
      <c r="R29" s="350"/>
      <c r="S29" s="362"/>
      <c r="T29" s="350">
        <f t="shared" si="0"/>
        <v>0</v>
      </c>
      <c r="AB29" s="306">
        <f t="shared" si="1"/>
        <v>0</v>
      </c>
    </row>
    <row r="30" spans="1:32" s="306" customFormat="1" hidden="1" x14ac:dyDescent="0.25">
      <c r="A30" s="349" t="s">
        <v>8</v>
      </c>
      <c r="B30" s="96"/>
      <c r="C30" s="96">
        <v>1030302000</v>
      </c>
      <c r="D30" s="303">
        <f>IFERROR(VLOOKUP($C30,'Restated FC1-Pre TB 2023'!$C$10:$H$271,6,FALSE),0)</f>
        <v>0</v>
      </c>
      <c r="E30" s="303">
        <f>IFERROR(VLOOKUP($C30,'Restated FC1-Pre TB 2023'!$C$10:$I$271,7,FALSE),0)</f>
        <v>0</v>
      </c>
      <c r="F30" s="362"/>
      <c r="G30" s="303"/>
      <c r="H30" s="350"/>
      <c r="I30" s="350"/>
      <c r="J30" s="350"/>
      <c r="K30" s="362"/>
      <c r="L30" s="362"/>
      <c r="M30" s="362"/>
      <c r="N30" s="362"/>
      <c r="O30" s="350"/>
      <c r="P30" s="350"/>
      <c r="Q30" s="350"/>
      <c r="R30" s="350"/>
      <c r="S30" s="362"/>
      <c r="T30" s="350">
        <f t="shared" si="0"/>
        <v>0</v>
      </c>
      <c r="AB30" s="306">
        <f t="shared" si="1"/>
        <v>0</v>
      </c>
    </row>
    <row r="31" spans="1:32" s="306" customFormat="1" x14ac:dyDescent="0.25">
      <c r="A31" s="349" t="s">
        <v>241</v>
      </c>
      <c r="B31" s="96"/>
      <c r="C31" s="96">
        <v>1030303000</v>
      </c>
      <c r="D31" s="303">
        <f>IFERROR(VLOOKUP($C31,'Restated FC1-Pre TB 2023'!$C$10:$H$271,6,FALSE),0)</f>
        <v>175971425.55000007</v>
      </c>
      <c r="E31" s="303">
        <f>IFERROR(VLOOKUP($C31,'Restated FC1-Pre TB 2023'!$C$10:$I$271,7,FALSE),0)</f>
        <v>0</v>
      </c>
      <c r="F31" s="362"/>
      <c r="G31" s="303"/>
      <c r="H31" s="350"/>
      <c r="I31" s="350"/>
      <c r="J31" s="350"/>
      <c r="K31" s="362"/>
      <c r="L31" s="362"/>
      <c r="M31" s="362"/>
      <c r="N31" s="362"/>
      <c r="O31" s="350"/>
      <c r="P31" s="350"/>
      <c r="Q31" s="350"/>
      <c r="R31" s="350"/>
      <c r="S31" s="362"/>
      <c r="T31" s="350">
        <f t="shared" si="0"/>
        <v>175971425.55000007</v>
      </c>
      <c r="AB31" s="306">
        <f t="shared" si="1"/>
        <v>175971425.55000007</v>
      </c>
    </row>
    <row r="32" spans="1:32" s="306" customFormat="1" ht="31.5" x14ac:dyDescent="0.25">
      <c r="A32" s="349" t="s">
        <v>487</v>
      </c>
      <c r="B32" s="99"/>
      <c r="C32" s="96">
        <v>1039903000</v>
      </c>
      <c r="D32" s="303">
        <f>IFERROR(VLOOKUP($C32,'Restated FC1-Pre TB 2023'!$C$10:$H$271,6,FALSE),0)</f>
        <v>28437554.43</v>
      </c>
      <c r="E32" s="303">
        <f>IFERROR(VLOOKUP($C32,'Restated FC1-Pre TB 2023'!$C$10:$I$271,7,FALSE),0)</f>
        <v>0</v>
      </c>
      <c r="F32" s="362"/>
      <c r="G32" s="303"/>
      <c r="H32" s="350"/>
      <c r="I32" s="350"/>
      <c r="J32" s="350"/>
      <c r="K32" s="362"/>
      <c r="L32" s="362"/>
      <c r="M32" s="362"/>
      <c r="N32" s="362"/>
      <c r="O32" s="350"/>
      <c r="P32" s="350"/>
      <c r="Q32" s="350"/>
      <c r="R32" s="350"/>
      <c r="S32" s="362"/>
      <c r="T32" s="350">
        <f t="shared" si="0"/>
        <v>28437554.43</v>
      </c>
      <c r="AB32" s="306">
        <f t="shared" si="1"/>
        <v>28437554.43</v>
      </c>
    </row>
    <row r="33" spans="1:28" s="306" customFormat="1" hidden="1" x14ac:dyDescent="0.25">
      <c r="A33" s="349" t="s">
        <v>11</v>
      </c>
      <c r="B33" s="99"/>
      <c r="C33" s="96">
        <v>1030405000</v>
      </c>
      <c r="D33" s="303">
        <f>IFERROR(VLOOKUP($C33,'Restated FC1-Pre TB 2023'!$C$10:$H$271,6,FALSE),0)</f>
        <v>0</v>
      </c>
      <c r="E33" s="303">
        <f>IFERROR(VLOOKUP($C33,'Restated FC1-Pre TB 2023'!$C$10:$I$271,7,FALSE),0)</f>
        <v>0</v>
      </c>
      <c r="F33" s="362"/>
      <c r="G33" s="303"/>
      <c r="H33" s="350"/>
      <c r="I33" s="350"/>
      <c r="J33" s="350"/>
      <c r="K33" s="362"/>
      <c r="L33" s="362"/>
      <c r="M33" s="362"/>
      <c r="N33" s="362"/>
      <c r="O33" s="350"/>
      <c r="P33" s="350"/>
      <c r="Q33" s="350"/>
      <c r="R33" s="350"/>
      <c r="S33" s="362"/>
      <c r="T33" s="350">
        <f t="shared" si="0"/>
        <v>0</v>
      </c>
      <c r="AB33" s="306">
        <f t="shared" si="1"/>
        <v>0</v>
      </c>
    </row>
    <row r="34" spans="1:28" s="306" customFormat="1" hidden="1" x14ac:dyDescent="0.25">
      <c r="A34" s="349" t="s">
        <v>12</v>
      </c>
      <c r="B34" s="96"/>
      <c r="C34" s="96">
        <v>1990104000</v>
      </c>
      <c r="D34" s="303">
        <f>IFERROR(VLOOKUP($C34,'Restated FC1-Pre TB 2023'!$C$10:$H$271,6,FALSE),0)</f>
        <v>0</v>
      </c>
      <c r="E34" s="303">
        <f>IFERROR(VLOOKUP($C34,'Restated FC1-Pre TB 2023'!$C$10:$I$271,7,FALSE),0)</f>
        <v>0</v>
      </c>
      <c r="F34" s="362"/>
      <c r="G34" s="303"/>
      <c r="H34" s="350"/>
      <c r="I34" s="350"/>
      <c r="J34" s="350"/>
      <c r="K34" s="362"/>
      <c r="L34" s="362"/>
      <c r="M34" s="362"/>
      <c r="N34" s="362"/>
      <c r="O34" s="350"/>
      <c r="P34" s="350"/>
      <c r="Q34" s="350"/>
      <c r="R34" s="350"/>
      <c r="S34" s="362"/>
      <c r="T34" s="350">
        <f t="shared" si="0"/>
        <v>0</v>
      </c>
      <c r="AB34" s="306">
        <f t="shared" si="1"/>
        <v>0</v>
      </c>
    </row>
    <row r="35" spans="1:28" s="306" customFormat="1" x14ac:dyDescent="0.25">
      <c r="A35" s="349" t="s">
        <v>13</v>
      </c>
      <c r="B35" s="96"/>
      <c r="C35" s="96">
        <v>1039999000</v>
      </c>
      <c r="D35" s="303">
        <f>IFERROR(VLOOKUP($C35,'Restated FC1-Pre TB 2023'!$C$10:$H$271,6,FALSE),0)</f>
        <v>1218.3499999999999</v>
      </c>
      <c r="E35" s="303">
        <f>IFERROR(VLOOKUP($C35,'Restated FC1-Pre TB 2023'!$C$10:$I$271,7,FALSE),0)</f>
        <v>0</v>
      </c>
      <c r="F35" s="362"/>
      <c r="G35" s="303"/>
      <c r="H35" s="350"/>
      <c r="I35" s="350"/>
      <c r="J35" s="350"/>
      <c r="K35" s="362"/>
      <c r="L35" s="362"/>
      <c r="M35" s="362"/>
      <c r="N35" s="362"/>
      <c r="O35" s="350"/>
      <c r="P35" s="350"/>
      <c r="Q35" s="350"/>
      <c r="R35" s="350"/>
      <c r="S35" s="362"/>
      <c r="T35" s="350">
        <f t="shared" si="0"/>
        <v>1218.3499999999999</v>
      </c>
      <c r="AB35" s="306">
        <f t="shared" si="1"/>
        <v>1218.3499999999999</v>
      </c>
    </row>
    <row r="36" spans="1:28" s="306" customFormat="1" hidden="1" x14ac:dyDescent="0.25">
      <c r="A36" s="349" t="s">
        <v>238</v>
      </c>
      <c r="B36" s="96"/>
      <c r="C36" s="96">
        <v>1040299000</v>
      </c>
      <c r="D36" s="303">
        <f>IFERROR(VLOOKUP($C36,'Restated FC1-Pre TB 2023'!$C$10:$H$271,6,FALSE),0)</f>
        <v>0</v>
      </c>
      <c r="E36" s="303">
        <f>IFERROR(VLOOKUP($C36,'Restated FC1-Pre TB 2023'!$C$10:$I$271,7,FALSE),0)</f>
        <v>0</v>
      </c>
      <c r="F36" s="362"/>
      <c r="G36" s="303"/>
      <c r="H36" s="350"/>
      <c r="I36" s="350"/>
      <c r="J36" s="350"/>
      <c r="K36" s="362"/>
      <c r="L36" s="362"/>
      <c r="M36" s="362"/>
      <c r="N36" s="362"/>
      <c r="O36" s="350"/>
      <c r="P36" s="350"/>
      <c r="Q36" s="350"/>
      <c r="R36" s="350"/>
      <c r="S36" s="362"/>
      <c r="T36" s="350">
        <f t="shared" si="0"/>
        <v>0</v>
      </c>
      <c r="AB36" s="306">
        <f t="shared" si="1"/>
        <v>0</v>
      </c>
    </row>
    <row r="37" spans="1:28" s="306" customFormat="1" x14ac:dyDescent="0.25">
      <c r="A37" s="349" t="s">
        <v>240</v>
      </c>
      <c r="B37" s="96"/>
      <c r="C37" s="96">
        <v>1040202000</v>
      </c>
      <c r="D37" s="303">
        <f>IFERROR(VLOOKUP($C37,'Restated FC1-Pre TB 2023'!$C$10:$H$271,6,FALSE),0)</f>
        <v>42694777.319999993</v>
      </c>
      <c r="E37" s="303">
        <f>IFERROR(VLOOKUP($C37,'Restated FC1-Pre TB 2023'!$C$10:$I$271,7,FALSE),0)</f>
        <v>0</v>
      </c>
      <c r="F37" s="362"/>
      <c r="G37" s="303"/>
      <c r="H37" s="350"/>
      <c r="I37" s="350"/>
      <c r="J37" s="350"/>
      <c r="K37" s="362"/>
      <c r="L37" s="362"/>
      <c r="M37" s="362"/>
      <c r="N37" s="362"/>
      <c r="O37" s="350"/>
      <c r="P37" s="350"/>
      <c r="Q37" s="350"/>
      <c r="R37" s="350"/>
      <c r="S37" s="362"/>
      <c r="T37" s="350">
        <f t="shared" si="0"/>
        <v>42694777.319999993</v>
      </c>
      <c r="AB37" s="306">
        <f t="shared" si="1"/>
        <v>42694777.319999993</v>
      </c>
    </row>
    <row r="38" spans="1:28" s="306" customFormat="1" ht="31.5" x14ac:dyDescent="0.25">
      <c r="A38" s="349" t="s">
        <v>239</v>
      </c>
      <c r="B38" s="96"/>
      <c r="C38" s="96">
        <v>1040204000</v>
      </c>
      <c r="D38" s="303">
        <f>IFERROR(VLOOKUP($C38,'Restated FC1-Pre TB 2023'!$C$10:$H$271,6,FALSE),0)</f>
        <v>79220</v>
      </c>
      <c r="E38" s="303">
        <f>IFERROR(VLOOKUP($C38,'Restated FC1-Pre TB 2023'!$C$10:$I$271,7,FALSE),0)</f>
        <v>0</v>
      </c>
      <c r="F38" s="362"/>
      <c r="G38" s="303"/>
      <c r="H38" s="350"/>
      <c r="I38" s="350"/>
      <c r="J38" s="350"/>
      <c r="K38" s="362"/>
      <c r="L38" s="362"/>
      <c r="M38" s="362"/>
      <c r="N38" s="362"/>
      <c r="O38" s="350"/>
      <c r="P38" s="350"/>
      <c r="Q38" s="350"/>
      <c r="R38" s="350"/>
      <c r="S38" s="362"/>
      <c r="T38" s="350">
        <f t="shared" si="0"/>
        <v>79220</v>
      </c>
      <c r="AB38" s="306">
        <f t="shared" si="1"/>
        <v>79220</v>
      </c>
    </row>
    <row r="39" spans="1:28" s="306" customFormat="1" hidden="1" x14ac:dyDescent="0.25">
      <c r="A39" s="349" t="s">
        <v>14</v>
      </c>
      <c r="B39" s="96"/>
      <c r="C39" s="96">
        <v>1040401000</v>
      </c>
      <c r="D39" s="303">
        <f>IFERROR(VLOOKUP($C39,'Restated FC1-Pre TB 2023'!$C$10:$H$271,6,FALSE),0)</f>
        <v>0</v>
      </c>
      <c r="E39" s="303">
        <f>IFERROR(VLOOKUP($C39,'Restated FC1-Pre TB 2023'!$C$10:$I$271,7,FALSE),0)</f>
        <v>0</v>
      </c>
      <c r="F39" s="362"/>
      <c r="G39" s="303"/>
      <c r="H39" s="350"/>
      <c r="I39" s="350"/>
      <c r="J39" s="350"/>
      <c r="K39" s="362"/>
      <c r="L39" s="362"/>
      <c r="M39" s="362"/>
      <c r="N39" s="362"/>
      <c r="O39" s="350"/>
      <c r="P39" s="350"/>
      <c r="Q39" s="350"/>
      <c r="R39" s="350"/>
      <c r="S39" s="362"/>
      <c r="T39" s="350">
        <f t="shared" si="0"/>
        <v>0</v>
      </c>
      <c r="AB39" s="306">
        <f t="shared" si="1"/>
        <v>0</v>
      </c>
    </row>
    <row r="40" spans="1:28" s="306" customFormat="1" x14ac:dyDescent="0.25">
      <c r="A40" s="349" t="s">
        <v>15</v>
      </c>
      <c r="B40" s="96"/>
      <c r="C40" s="96">
        <v>1040405000</v>
      </c>
      <c r="D40" s="303">
        <f>IFERROR(VLOOKUP($C40,'Restated FC1-Pre TB 2023'!$C$10:$H$271,6,FALSE),0)</f>
        <v>6853257.2999999998</v>
      </c>
      <c r="E40" s="303">
        <f>IFERROR(VLOOKUP($C40,'Restated FC1-Pre TB 2023'!$C$10:$I$271,7,FALSE),0)</f>
        <v>0</v>
      </c>
      <c r="F40" s="362"/>
      <c r="G40" s="303"/>
      <c r="H40" s="350"/>
      <c r="I40" s="350"/>
      <c r="J40" s="350"/>
      <c r="K40" s="362"/>
      <c r="L40" s="362"/>
      <c r="M40" s="362"/>
      <c r="N40" s="362"/>
      <c r="O40" s="350"/>
      <c r="P40" s="350"/>
      <c r="Q40" s="350"/>
      <c r="R40" s="350"/>
      <c r="S40" s="362"/>
      <c r="T40" s="350">
        <f t="shared" si="0"/>
        <v>6853257.2999999998</v>
      </c>
      <c r="AB40" s="306">
        <f t="shared" si="1"/>
        <v>6853257.2999999998</v>
      </c>
    </row>
    <row r="41" spans="1:28" s="306" customFormat="1" hidden="1" x14ac:dyDescent="0.25">
      <c r="A41" s="349" t="s">
        <v>16</v>
      </c>
      <c r="B41" s="96"/>
      <c r="C41" s="96">
        <v>1040406000</v>
      </c>
      <c r="D41" s="303">
        <f>IFERROR(VLOOKUP($C41,'Restated FC1-Pre TB 2023'!$C$10:$H$271,6,FALSE),0)</f>
        <v>0</v>
      </c>
      <c r="E41" s="303">
        <f>IFERROR(VLOOKUP($C41,'Restated FC1-Pre TB 2023'!$C$10:$I$271,7,FALSE),0)</f>
        <v>0</v>
      </c>
      <c r="F41" s="362"/>
      <c r="G41" s="303"/>
      <c r="H41" s="350"/>
      <c r="I41" s="350"/>
      <c r="J41" s="350"/>
      <c r="K41" s="362"/>
      <c r="L41" s="362"/>
      <c r="M41" s="362"/>
      <c r="N41" s="362"/>
      <c r="O41" s="350"/>
      <c r="P41" s="350"/>
      <c r="Q41" s="350"/>
      <c r="R41" s="350"/>
      <c r="S41" s="362"/>
      <c r="T41" s="350">
        <f t="shared" si="0"/>
        <v>0</v>
      </c>
      <c r="AB41" s="306">
        <f t="shared" si="1"/>
        <v>0</v>
      </c>
    </row>
    <row r="42" spans="1:28" s="306" customFormat="1" x14ac:dyDescent="0.25">
      <c r="A42" s="349" t="s">
        <v>377</v>
      </c>
      <c r="B42" s="96"/>
      <c r="C42" s="96">
        <v>1040407000</v>
      </c>
      <c r="D42" s="303">
        <f>IFERROR(VLOOKUP($C42,'Restated FC1-Pre TB 2023'!$C$10:$H$271,6,FALSE),0)</f>
        <v>263701.58</v>
      </c>
      <c r="E42" s="303">
        <f>IFERROR(VLOOKUP($C42,'Restated FC1-Pre TB 2023'!$C$10:$I$271,7,FALSE),0)</f>
        <v>0</v>
      </c>
      <c r="F42" s="362"/>
      <c r="G42" s="303"/>
      <c r="H42" s="350"/>
      <c r="I42" s="350"/>
      <c r="J42" s="350"/>
      <c r="K42" s="362"/>
      <c r="L42" s="362"/>
      <c r="M42" s="362"/>
      <c r="N42" s="362"/>
      <c r="O42" s="350"/>
      <c r="P42" s="350"/>
      <c r="Q42" s="350"/>
      <c r="R42" s="350"/>
      <c r="S42" s="362"/>
      <c r="T42" s="350">
        <f t="shared" si="0"/>
        <v>263701.58</v>
      </c>
      <c r="AB42" s="306">
        <f t="shared" si="1"/>
        <v>263701.58</v>
      </c>
    </row>
    <row r="43" spans="1:28" s="306" customFormat="1" x14ac:dyDescent="0.25">
      <c r="A43" s="349" t="s">
        <v>237</v>
      </c>
      <c r="B43" s="96"/>
      <c r="C43" s="96">
        <v>1040408000</v>
      </c>
      <c r="D43" s="303">
        <f>IFERROR(VLOOKUP($C43,'Restated FC1-Pre TB 2023'!$C$10:$H$271,6,FALSE),0)</f>
        <v>75000</v>
      </c>
      <c r="E43" s="303">
        <f>IFERROR(VLOOKUP($C43,'Restated FC1-Pre TB 2023'!$C$10:$I$271,7,FALSE),0)</f>
        <v>0</v>
      </c>
      <c r="F43" s="362"/>
      <c r="G43" s="303"/>
      <c r="H43" s="350"/>
      <c r="I43" s="350"/>
      <c r="J43" s="350"/>
      <c r="K43" s="362"/>
      <c r="L43" s="362"/>
      <c r="M43" s="362"/>
      <c r="N43" s="362"/>
      <c r="O43" s="350"/>
      <c r="P43" s="350"/>
      <c r="Q43" s="350"/>
      <c r="R43" s="350"/>
      <c r="S43" s="362"/>
      <c r="T43" s="350">
        <f t="shared" si="0"/>
        <v>75000</v>
      </c>
      <c r="AB43" s="306">
        <f t="shared" si="1"/>
        <v>75000</v>
      </c>
    </row>
    <row r="44" spans="1:28" s="306" customFormat="1" x14ac:dyDescent="0.25">
      <c r="A44" s="349" t="s">
        <v>538</v>
      </c>
      <c r="B44" s="96"/>
      <c r="C44" s="96">
        <v>1040499000</v>
      </c>
      <c r="D44" s="303">
        <f>IFERROR(VLOOKUP($C44,'Restated FC1-Pre TB 2023'!$C$10:$H$271,6,FALSE),0)</f>
        <v>2347153.9699999997</v>
      </c>
      <c r="E44" s="303">
        <f>IFERROR(VLOOKUP($C44,'Restated FC1-Pre TB 2023'!$C$10:$I$271,7,FALSE),0)</f>
        <v>0</v>
      </c>
      <c r="F44" s="362"/>
      <c r="G44" s="303"/>
      <c r="H44" s="350"/>
      <c r="I44" s="350"/>
      <c r="J44" s="350"/>
      <c r="K44" s="362"/>
      <c r="L44" s="350"/>
      <c r="M44" s="362"/>
      <c r="N44" s="362"/>
      <c r="O44" s="350"/>
      <c r="P44" s="350"/>
      <c r="Q44" s="350"/>
      <c r="R44" s="350"/>
      <c r="S44" s="362"/>
      <c r="T44" s="350">
        <f t="shared" si="0"/>
        <v>2347153.9699999997</v>
      </c>
      <c r="AB44" s="306">
        <f t="shared" si="1"/>
        <v>2347153.9699999997</v>
      </c>
    </row>
    <row r="45" spans="1:28" s="306" customFormat="1" hidden="1" x14ac:dyDescent="0.25">
      <c r="A45" s="349" t="s">
        <v>18</v>
      </c>
      <c r="B45" s="96"/>
      <c r="C45" s="96">
        <v>1040413000</v>
      </c>
      <c r="D45" s="303">
        <f>IFERROR(VLOOKUP($C45,'Restated FC1-Pre TB 2023'!$C$10:$H$271,6,FALSE),0)</f>
        <v>0</v>
      </c>
      <c r="E45" s="303">
        <f>IFERROR(VLOOKUP($C45,'Restated FC1-Pre TB 2023'!$C$10:$I$271,7,FALSE),0)</f>
        <v>0</v>
      </c>
      <c r="F45" s="362"/>
      <c r="G45" s="303"/>
      <c r="H45" s="350"/>
      <c r="I45" s="350"/>
      <c r="J45" s="350"/>
      <c r="K45" s="362"/>
      <c r="L45" s="350"/>
      <c r="M45" s="362"/>
      <c r="N45" s="362"/>
      <c r="O45" s="350"/>
      <c r="P45" s="350"/>
      <c r="Q45" s="350"/>
      <c r="R45" s="350"/>
      <c r="S45" s="362"/>
      <c r="T45" s="350">
        <f t="shared" si="0"/>
        <v>0</v>
      </c>
      <c r="AB45" s="306">
        <f t="shared" si="1"/>
        <v>0</v>
      </c>
    </row>
    <row r="46" spans="1:28" s="306" customFormat="1" x14ac:dyDescent="0.25">
      <c r="A46" s="349" t="s">
        <v>344</v>
      </c>
      <c r="B46" s="96"/>
      <c r="C46" s="96">
        <v>1040501000</v>
      </c>
      <c r="D46" s="303">
        <f>IFERROR(VLOOKUP($C46,'Restated FC1-Pre TB 2023'!$C$10:$H$271,6,FALSE),0)</f>
        <v>164930</v>
      </c>
      <c r="E46" s="303">
        <f>IFERROR(VLOOKUP($C46,'Restated FC1-Pre TB 2023'!$C$10:$I$271,7,FALSE),0)</f>
        <v>0</v>
      </c>
      <c r="F46" s="362"/>
      <c r="G46" s="303"/>
      <c r="H46" s="350"/>
      <c r="I46" s="350"/>
      <c r="J46" s="350"/>
      <c r="K46" s="362"/>
      <c r="L46" s="350"/>
      <c r="M46" s="362"/>
      <c r="N46" s="362"/>
      <c r="O46" s="350"/>
      <c r="P46" s="350"/>
      <c r="Q46" s="350"/>
      <c r="R46" s="350"/>
      <c r="S46" s="362"/>
      <c r="T46" s="350">
        <f t="shared" si="0"/>
        <v>164930</v>
      </c>
      <c r="AB46" s="306">
        <f t="shared" si="1"/>
        <v>164930</v>
      </c>
    </row>
    <row r="47" spans="1:28" s="306" customFormat="1" x14ac:dyDescent="0.25">
      <c r="A47" s="349" t="s">
        <v>345</v>
      </c>
      <c r="B47" s="96"/>
      <c r="C47" s="96">
        <v>1040502000</v>
      </c>
      <c r="D47" s="303">
        <f>IFERROR(VLOOKUP($C47,'Restated FC1-Pre TB 2023'!$C$10:$H$271,6,FALSE),0)</f>
        <v>367269</v>
      </c>
      <c r="E47" s="303">
        <f>IFERROR(VLOOKUP($C47,'Restated FC1-Pre TB 2023'!$C$10:$I$271,7,FALSE),0)</f>
        <v>0</v>
      </c>
      <c r="F47" s="362"/>
      <c r="G47" s="303"/>
      <c r="H47" s="350"/>
      <c r="I47" s="350"/>
      <c r="J47" s="350"/>
      <c r="K47" s="362"/>
      <c r="L47" s="362"/>
      <c r="M47" s="362"/>
      <c r="N47" s="362"/>
      <c r="O47" s="350"/>
      <c r="P47" s="350"/>
      <c r="Q47" s="350"/>
      <c r="R47" s="350"/>
      <c r="S47" s="362"/>
      <c r="T47" s="350">
        <f t="shared" si="0"/>
        <v>367269</v>
      </c>
      <c r="AB47" s="306">
        <f t="shared" si="1"/>
        <v>367269</v>
      </c>
    </row>
    <row r="48" spans="1:28" s="306" customFormat="1" ht="31.5" x14ac:dyDescent="0.25">
      <c r="A48" s="349" t="s">
        <v>346</v>
      </c>
      <c r="B48" s="96"/>
      <c r="C48" s="96">
        <v>1040503000</v>
      </c>
      <c r="D48" s="303">
        <f>IFERROR(VLOOKUP($C48,'Restated FC1-Pre TB 2023'!$C$10:$H$271,6,FALSE),0)</f>
        <v>30850</v>
      </c>
      <c r="E48" s="303">
        <f>IFERROR(VLOOKUP($C48,'Restated FC1-Pre TB 2023'!$C$10:$I$271,7,FALSE),0)</f>
        <v>0</v>
      </c>
      <c r="F48" s="362"/>
      <c r="G48" s="303"/>
      <c r="H48" s="350"/>
      <c r="I48" s="350"/>
      <c r="J48" s="350"/>
      <c r="K48" s="362"/>
      <c r="L48" s="350"/>
      <c r="M48" s="362"/>
      <c r="N48" s="362"/>
      <c r="O48" s="350"/>
      <c r="P48" s="350"/>
      <c r="Q48" s="350"/>
      <c r="R48" s="350"/>
      <c r="S48" s="362"/>
      <c r="T48" s="350">
        <f t="shared" si="0"/>
        <v>30850</v>
      </c>
      <c r="AB48" s="306">
        <f t="shared" si="1"/>
        <v>30850</v>
      </c>
    </row>
    <row r="49" spans="1:28" s="306" customFormat="1" hidden="1" x14ac:dyDescent="0.25">
      <c r="A49" s="349" t="s">
        <v>347</v>
      </c>
      <c r="B49" s="96"/>
      <c r="C49" s="96">
        <v>1040510000</v>
      </c>
      <c r="D49" s="303">
        <f>IFERROR(VLOOKUP($C49,'Restated FC1-Pre TB 2023'!$C$10:$H$271,6,FALSE),0)</f>
        <v>0</v>
      </c>
      <c r="E49" s="303">
        <f>IFERROR(VLOOKUP($C49,'Restated FC1-Pre TB 2023'!$C$10:$I$271,7,FALSE),0)</f>
        <v>0</v>
      </c>
      <c r="F49" s="362"/>
      <c r="G49" s="303"/>
      <c r="H49" s="350"/>
      <c r="I49" s="350"/>
      <c r="J49" s="350"/>
      <c r="K49" s="362"/>
      <c r="L49" s="350"/>
      <c r="M49" s="362"/>
      <c r="N49" s="362"/>
      <c r="O49" s="350"/>
      <c r="P49" s="350"/>
      <c r="Q49" s="350"/>
      <c r="R49" s="350"/>
      <c r="S49" s="362"/>
      <c r="T49" s="350">
        <f t="shared" si="0"/>
        <v>0</v>
      </c>
      <c r="AB49" s="306">
        <f t="shared" si="1"/>
        <v>0</v>
      </c>
    </row>
    <row r="50" spans="1:28" s="306" customFormat="1" hidden="1" x14ac:dyDescent="0.25">
      <c r="A50" s="349" t="s">
        <v>348</v>
      </c>
      <c r="B50" s="99"/>
      <c r="C50" s="96">
        <v>1040512000</v>
      </c>
      <c r="D50" s="303">
        <f>IFERROR(VLOOKUP($C50,'Restated FC1-Pre TB 2023'!$C$10:$H$271,6,FALSE),0)</f>
        <v>0</v>
      </c>
      <c r="E50" s="303">
        <f>IFERROR(VLOOKUP($C50,'Restated FC1-Pre TB 2023'!$C$10:$I$271,7,FALSE),0)</f>
        <v>0</v>
      </c>
      <c r="F50" s="362"/>
      <c r="G50" s="381"/>
      <c r="H50" s="382"/>
      <c r="I50" s="382"/>
      <c r="J50" s="382"/>
      <c r="K50" s="383"/>
      <c r="L50" s="382"/>
      <c r="M50" s="383"/>
      <c r="N50" s="383"/>
      <c r="O50" s="382"/>
      <c r="P50" s="382"/>
      <c r="Q50" s="382"/>
      <c r="R50" s="382"/>
      <c r="S50" s="383"/>
      <c r="T50" s="350">
        <f t="shared" si="0"/>
        <v>0</v>
      </c>
      <c r="AB50" s="306">
        <f t="shared" si="1"/>
        <v>0</v>
      </c>
    </row>
    <row r="51" spans="1:28" s="384" customFormat="1" hidden="1" x14ac:dyDescent="0.25">
      <c r="A51" s="349" t="s">
        <v>349</v>
      </c>
      <c r="B51" s="96"/>
      <c r="C51" s="96">
        <v>1040513000</v>
      </c>
      <c r="D51" s="303">
        <f>IFERROR(VLOOKUP($C51,'Restated FC1-Pre TB 2023'!$C$10:$H$271,6,FALSE),0)</f>
        <v>0</v>
      </c>
      <c r="E51" s="303">
        <f>IFERROR(VLOOKUP($C51,'Restated FC1-Pre TB 2023'!$C$10:$I$271,7,FALSE),0)</f>
        <v>0</v>
      </c>
      <c r="F51" s="362"/>
      <c r="G51" s="303"/>
      <c r="H51" s="350"/>
      <c r="I51" s="350"/>
      <c r="J51" s="350"/>
      <c r="K51" s="362"/>
      <c r="L51" s="350"/>
      <c r="M51" s="362"/>
      <c r="N51" s="362"/>
      <c r="O51" s="350"/>
      <c r="P51" s="350"/>
      <c r="Q51" s="350"/>
      <c r="R51" s="350"/>
      <c r="S51" s="362"/>
      <c r="T51" s="350">
        <f t="shared" si="0"/>
        <v>0</v>
      </c>
      <c r="U51" s="306"/>
      <c r="AB51" s="306">
        <f t="shared" si="1"/>
        <v>0</v>
      </c>
    </row>
    <row r="52" spans="1:28" s="306" customFormat="1" x14ac:dyDescent="0.25">
      <c r="A52" s="349" t="s">
        <v>488</v>
      </c>
      <c r="B52" s="96"/>
      <c r="C52" s="96">
        <v>1040599000</v>
      </c>
      <c r="D52" s="303">
        <f>IFERROR(VLOOKUP($C52,'Restated FC1-Pre TB 2023'!$C$10:$H$271,6,FALSE),0)</f>
        <v>325436.5</v>
      </c>
      <c r="E52" s="303">
        <f>IFERROR(VLOOKUP($C52,'Restated FC1-Pre TB 2023'!$C$10:$I$271,7,FALSE),0)</f>
        <v>0</v>
      </c>
      <c r="F52" s="362"/>
      <c r="G52" s="303"/>
      <c r="H52" s="350"/>
      <c r="I52" s="350"/>
      <c r="J52" s="350"/>
      <c r="K52" s="362"/>
      <c r="L52" s="362"/>
      <c r="M52" s="362"/>
      <c r="N52" s="362"/>
      <c r="O52" s="350"/>
      <c r="P52" s="350"/>
      <c r="Q52" s="350"/>
      <c r="R52" s="350"/>
      <c r="S52" s="362"/>
      <c r="T52" s="350">
        <f t="shared" si="0"/>
        <v>325436.5</v>
      </c>
      <c r="U52" s="306">
        <f>D11+D12</f>
        <v>0</v>
      </c>
      <c r="AB52" s="306">
        <f t="shared" si="1"/>
        <v>325436.5</v>
      </c>
    </row>
    <row r="53" spans="1:28" s="306" customFormat="1" x14ac:dyDescent="0.25">
      <c r="A53" s="349" t="s">
        <v>350</v>
      </c>
      <c r="B53" s="96"/>
      <c r="C53" s="96">
        <v>1040601000</v>
      </c>
      <c r="D53" s="303">
        <f>IFERROR(VLOOKUP($C53,'Restated FC1-Pre TB 2023'!$C$10:$H$271,6,FALSE),0)</f>
        <v>200522.25</v>
      </c>
      <c r="E53" s="303">
        <f>IFERROR(VLOOKUP($C53,'Restated FC1-Pre TB 2023'!$C$10:$I$271,7,FALSE),0)</f>
        <v>0</v>
      </c>
      <c r="F53" s="362"/>
      <c r="G53" s="303"/>
      <c r="H53" s="350"/>
      <c r="I53" s="350"/>
      <c r="J53" s="350"/>
      <c r="K53" s="362"/>
      <c r="L53" s="362"/>
      <c r="M53" s="362"/>
      <c r="N53" s="362"/>
      <c r="O53" s="350"/>
      <c r="P53" s="350"/>
      <c r="Q53" s="350"/>
      <c r="R53" s="350"/>
      <c r="S53" s="362"/>
      <c r="T53" s="350">
        <f t="shared" si="0"/>
        <v>200522.25</v>
      </c>
      <c r="AB53" s="306">
        <f t="shared" si="1"/>
        <v>200522.25</v>
      </c>
    </row>
    <row r="54" spans="1:28" s="306" customFormat="1" hidden="1" x14ac:dyDescent="0.25">
      <c r="A54" s="349" t="s">
        <v>367</v>
      </c>
      <c r="B54" s="96"/>
      <c r="C54" s="96">
        <v>1040507000</v>
      </c>
      <c r="D54" s="303">
        <f>IFERROR(VLOOKUP($C54,'Restated FC1-Pre TB 2023'!$C$10:$H$271,6,FALSE),0)</f>
        <v>0</v>
      </c>
      <c r="E54" s="303">
        <f>IFERROR(VLOOKUP($C54,'Restated FC1-Pre TB 2023'!$C$10:$I$271,7,FALSE),0)</f>
        <v>0</v>
      </c>
      <c r="F54" s="362"/>
      <c r="G54" s="303"/>
      <c r="H54" s="350"/>
      <c r="I54" s="350"/>
      <c r="J54" s="350"/>
      <c r="K54" s="362"/>
      <c r="L54" s="362"/>
      <c r="M54" s="362"/>
      <c r="N54" s="362"/>
      <c r="O54" s="350"/>
      <c r="P54" s="350"/>
      <c r="Q54" s="350"/>
      <c r="R54" s="350"/>
      <c r="S54" s="362"/>
      <c r="T54" s="350">
        <f t="shared" si="0"/>
        <v>0</v>
      </c>
      <c r="AB54" s="306">
        <f t="shared" si="1"/>
        <v>0</v>
      </c>
    </row>
    <row r="55" spans="1:28" s="306" customFormat="1" hidden="1" x14ac:dyDescent="0.25">
      <c r="A55" s="349" t="s">
        <v>19</v>
      </c>
      <c r="B55" s="96"/>
      <c r="C55" s="96">
        <v>1990299000</v>
      </c>
      <c r="D55" s="303">
        <f>IFERROR(VLOOKUP($C55,'Restated FC1-Pre TB 2023'!$C$10:$H$271,6,FALSE),0)</f>
        <v>0</v>
      </c>
      <c r="E55" s="303">
        <f>IFERROR(VLOOKUP($C55,'Restated FC1-Pre TB 2023'!$C$10:$I$271,7,FALSE),0)</f>
        <v>0</v>
      </c>
      <c r="F55" s="362"/>
      <c r="G55" s="303"/>
      <c r="H55" s="350"/>
      <c r="I55" s="350"/>
      <c r="J55" s="350"/>
      <c r="K55" s="362"/>
      <c r="L55" s="362"/>
      <c r="M55" s="362"/>
      <c r="N55" s="362"/>
      <c r="O55" s="350"/>
      <c r="P55" s="350"/>
      <c r="Q55" s="350"/>
      <c r="R55" s="350"/>
      <c r="S55" s="362"/>
      <c r="T55" s="350">
        <f t="shared" si="0"/>
        <v>0</v>
      </c>
      <c r="AB55" s="306">
        <f t="shared" si="1"/>
        <v>0</v>
      </c>
    </row>
    <row r="56" spans="1:28" s="306" customFormat="1" hidden="1" x14ac:dyDescent="0.25">
      <c r="A56" s="349" t="s">
        <v>20</v>
      </c>
      <c r="B56" s="96"/>
      <c r="C56" s="96">
        <v>1020399000</v>
      </c>
      <c r="D56" s="303">
        <f>IFERROR(VLOOKUP($C56,'Restated FC1-Pre TB 2023'!$C$10:$H$271,6,FALSE),0)</f>
        <v>0</v>
      </c>
      <c r="E56" s="303">
        <f>IFERROR(VLOOKUP($C56,'Restated FC1-Pre TB 2023'!$C$10:$I$271,7,FALSE),0)</f>
        <v>0</v>
      </c>
      <c r="F56" s="362"/>
      <c r="G56" s="303"/>
      <c r="H56" s="350"/>
      <c r="I56" s="350"/>
      <c r="J56" s="350"/>
      <c r="K56" s="362"/>
      <c r="L56" s="362"/>
      <c r="M56" s="362"/>
      <c r="N56" s="362"/>
      <c r="O56" s="350"/>
      <c r="P56" s="350"/>
      <c r="Q56" s="350"/>
      <c r="R56" s="350"/>
      <c r="S56" s="362"/>
      <c r="T56" s="350">
        <f t="shared" si="0"/>
        <v>0</v>
      </c>
      <c r="AB56" s="306">
        <f t="shared" si="1"/>
        <v>0</v>
      </c>
    </row>
    <row r="57" spans="1:28" s="306" customFormat="1" x14ac:dyDescent="0.25">
      <c r="A57" s="349" t="s">
        <v>21</v>
      </c>
      <c r="B57" s="96"/>
      <c r="C57" s="96">
        <v>1060101000</v>
      </c>
      <c r="D57" s="303">
        <f>IFERROR(VLOOKUP($C57,'Restated FC1-Pre TB 2023'!$C$10:$H$271,6,FALSE),0)</f>
        <v>13914630</v>
      </c>
      <c r="E57" s="303">
        <f>IFERROR(VLOOKUP($C57,'Restated FC1-Pre TB 2023'!$C$10:$I$271,7,FALSE),0)</f>
        <v>0</v>
      </c>
      <c r="F57" s="362"/>
      <c r="G57" s="303"/>
      <c r="H57" s="350"/>
      <c r="I57" s="350"/>
      <c r="J57" s="350"/>
      <c r="K57" s="362"/>
      <c r="L57" s="362"/>
      <c r="M57" s="362"/>
      <c r="N57" s="362"/>
      <c r="O57" s="350"/>
      <c r="P57" s="350"/>
      <c r="Q57" s="350"/>
      <c r="R57" s="350"/>
      <c r="S57" s="362"/>
      <c r="T57" s="350">
        <f t="shared" si="0"/>
        <v>13914630</v>
      </c>
      <c r="AB57" s="306">
        <f t="shared" si="1"/>
        <v>13914630</v>
      </c>
    </row>
    <row r="58" spans="1:28" s="306" customFormat="1" x14ac:dyDescent="0.25">
      <c r="A58" s="349" t="s">
        <v>236</v>
      </c>
      <c r="B58" s="96"/>
      <c r="C58" s="96">
        <v>1060299000</v>
      </c>
      <c r="D58" s="303">
        <f>IFERROR(VLOOKUP($C58,'Restated FC1-Pre TB 2023'!$C$10:$H$271,6,FALSE),0)</f>
        <v>699000</v>
      </c>
      <c r="E58" s="303">
        <f>IFERROR(VLOOKUP($C58,'Restated FC1-Pre TB 2023'!$C$10:$I$271,7,FALSE),0)</f>
        <v>0</v>
      </c>
      <c r="F58" s="362"/>
      <c r="G58" s="303"/>
      <c r="H58" s="350"/>
      <c r="I58" s="350"/>
      <c r="J58" s="350"/>
      <c r="K58" s="362"/>
      <c r="L58" s="362"/>
      <c r="M58" s="362"/>
      <c r="N58" s="362"/>
      <c r="O58" s="350"/>
      <c r="P58" s="350"/>
      <c r="Q58" s="350"/>
      <c r="R58" s="350"/>
      <c r="S58" s="362"/>
      <c r="T58" s="350">
        <f t="shared" si="0"/>
        <v>699000</v>
      </c>
      <c r="AB58" s="306">
        <f t="shared" si="1"/>
        <v>699000</v>
      </c>
    </row>
    <row r="59" spans="1:28" s="306" customFormat="1" x14ac:dyDescent="0.25">
      <c r="A59" s="349" t="s">
        <v>235</v>
      </c>
      <c r="B59" s="96"/>
      <c r="C59" s="96">
        <v>1060401000</v>
      </c>
      <c r="D59" s="303">
        <f>IFERROR(VLOOKUP($C59,'Restated FC1-Pre TB 2023'!$C$10:$H$271,6,FALSE),0)</f>
        <v>121948226.31</v>
      </c>
      <c r="E59" s="303">
        <f>IFERROR(VLOOKUP($C59,'Restated FC1-Pre TB 2023'!$C$10:$I$271,7,FALSE),0)</f>
        <v>0</v>
      </c>
      <c r="F59" s="362"/>
      <c r="G59" s="303"/>
      <c r="H59" s="350"/>
      <c r="I59" s="350"/>
      <c r="J59" s="350"/>
      <c r="K59" s="362"/>
      <c r="L59" s="350"/>
      <c r="M59" s="362"/>
      <c r="N59" s="362"/>
      <c r="O59" s="350"/>
      <c r="P59" s="350"/>
      <c r="Q59" s="350"/>
      <c r="R59" s="350"/>
      <c r="S59" s="362"/>
      <c r="T59" s="350">
        <f t="shared" si="0"/>
        <v>121948226.31</v>
      </c>
      <c r="AB59" s="306">
        <f t="shared" si="1"/>
        <v>121948226.31</v>
      </c>
    </row>
    <row r="60" spans="1:28" s="306" customFormat="1" x14ac:dyDescent="0.25">
      <c r="A60" s="349" t="s">
        <v>24</v>
      </c>
      <c r="B60" s="96"/>
      <c r="C60" s="96">
        <v>1060499000</v>
      </c>
      <c r="D60" s="303">
        <f>IFERROR(VLOOKUP($C60,'Restated FC1-Pre TB 2023'!$C$10:$H$271,6,FALSE),0)</f>
        <v>14926719.51</v>
      </c>
      <c r="E60" s="303">
        <f>IFERROR(VLOOKUP($C60,'Restated FC1-Pre TB 2023'!$C$10:$I$271,7,FALSE),0)</f>
        <v>0</v>
      </c>
      <c r="F60" s="362"/>
      <c r="G60" s="303"/>
      <c r="H60" s="350"/>
      <c r="I60" s="350"/>
      <c r="J60" s="350"/>
      <c r="K60" s="362"/>
      <c r="L60" s="362"/>
      <c r="M60" s="362"/>
      <c r="N60" s="362"/>
      <c r="O60" s="350"/>
      <c r="P60" s="350"/>
      <c r="Q60" s="350"/>
      <c r="R60" s="350"/>
      <c r="S60" s="362"/>
      <c r="T60" s="350">
        <f t="shared" si="0"/>
        <v>14926719.51</v>
      </c>
      <c r="AB60" s="306">
        <f t="shared" si="1"/>
        <v>14926719.51</v>
      </c>
    </row>
    <row r="61" spans="1:28" s="306" customFormat="1" hidden="1" x14ac:dyDescent="0.25">
      <c r="A61" s="349" t="s">
        <v>447</v>
      </c>
      <c r="B61" s="96"/>
      <c r="C61" s="96">
        <v>1060501000</v>
      </c>
      <c r="D61" s="303">
        <f>IFERROR(VLOOKUP($C61,'Restated FC1-Pre TB 2023'!$C$10:$H$271,6,FALSE),0)</f>
        <v>0</v>
      </c>
      <c r="E61" s="303">
        <f>IFERROR(VLOOKUP($C61,'Restated FC1-Pre TB 2023'!$C$10:$I$271,7,FALSE),0)</f>
        <v>0</v>
      </c>
      <c r="F61" s="362"/>
      <c r="G61" s="303"/>
      <c r="H61" s="350"/>
      <c r="I61" s="350"/>
      <c r="J61" s="350"/>
      <c r="K61" s="362"/>
      <c r="L61" s="362"/>
      <c r="M61" s="362"/>
      <c r="N61" s="362"/>
      <c r="O61" s="350"/>
      <c r="P61" s="350"/>
      <c r="Q61" s="350"/>
      <c r="R61" s="350"/>
      <c r="S61" s="362"/>
      <c r="T61" s="350">
        <f t="shared" si="0"/>
        <v>0</v>
      </c>
      <c r="AB61" s="306">
        <f t="shared" si="1"/>
        <v>0</v>
      </c>
    </row>
    <row r="62" spans="1:28" s="306" customFormat="1" x14ac:dyDescent="0.25">
      <c r="A62" s="349" t="s">
        <v>86</v>
      </c>
      <c r="B62" s="96"/>
      <c r="C62" s="96">
        <v>1060701000</v>
      </c>
      <c r="D62" s="303">
        <f>IFERROR(VLOOKUP($C62,'Restated FC1-Pre TB 2023'!$C$10:$H$271,6,FALSE),0)</f>
        <v>400810</v>
      </c>
      <c r="E62" s="303">
        <f>IFERROR(VLOOKUP($C62,'Restated FC1-Pre TB 2023'!$C$10:$I$271,7,FALSE),0)</f>
        <v>0</v>
      </c>
      <c r="F62" s="362"/>
      <c r="G62" s="303"/>
      <c r="H62" s="350"/>
      <c r="I62" s="350"/>
      <c r="J62" s="350"/>
      <c r="K62" s="362"/>
      <c r="L62" s="362"/>
      <c r="M62" s="362"/>
      <c r="N62" s="362"/>
      <c r="O62" s="350"/>
      <c r="P62" s="350"/>
      <c r="Q62" s="350"/>
      <c r="R62" s="350"/>
      <c r="S62" s="362"/>
      <c r="T62" s="350">
        <f t="shared" si="0"/>
        <v>400810</v>
      </c>
      <c r="AB62" s="306">
        <f t="shared" si="1"/>
        <v>400810</v>
      </c>
    </row>
    <row r="63" spans="1:28" s="306" customFormat="1" hidden="1" x14ac:dyDescent="0.25">
      <c r="A63" s="349" t="s">
        <v>101</v>
      </c>
      <c r="B63" s="96"/>
      <c r="C63" s="96">
        <v>1060702000</v>
      </c>
      <c r="D63" s="303">
        <f>IFERROR(VLOOKUP($C63,'Restated FC1-Pre TB 2023'!$C$10:$H$271,6,FALSE),0)</f>
        <v>0</v>
      </c>
      <c r="E63" s="303">
        <f>IFERROR(VLOOKUP($C63,'Restated FC1-Pre TB 2023'!$C$10:$I$271,7,FALSE),0)</f>
        <v>0</v>
      </c>
      <c r="F63" s="362"/>
      <c r="G63" s="303"/>
      <c r="H63" s="350"/>
      <c r="I63" s="350"/>
      <c r="J63" s="350"/>
      <c r="K63" s="362"/>
      <c r="L63" s="362"/>
      <c r="M63" s="362"/>
      <c r="N63" s="362"/>
      <c r="O63" s="350"/>
      <c r="P63" s="350"/>
      <c r="Q63" s="350"/>
      <c r="R63" s="350"/>
      <c r="S63" s="362"/>
      <c r="T63" s="350">
        <f t="shared" si="0"/>
        <v>0</v>
      </c>
      <c r="AB63" s="306">
        <f t="shared" si="1"/>
        <v>0</v>
      </c>
    </row>
    <row r="64" spans="1:28" s="306" customFormat="1" x14ac:dyDescent="0.25">
      <c r="A64" s="349" t="s">
        <v>417</v>
      </c>
      <c r="B64" s="96"/>
      <c r="C64" s="96">
        <v>1060803000</v>
      </c>
      <c r="D64" s="303">
        <f>IFERROR(VLOOKUP($C64,'Restated FC1-Pre TB 2023'!$C$10:$H$271,6,FALSE),0)</f>
        <v>129000</v>
      </c>
      <c r="E64" s="303">
        <f>IFERROR(VLOOKUP($C64,'Restated FC1-Pre TB 2023'!$C$10:$I$271,7,FALSE),0)</f>
        <v>0</v>
      </c>
      <c r="F64" s="362"/>
      <c r="G64" s="303"/>
      <c r="H64" s="350"/>
      <c r="I64" s="350"/>
      <c r="J64" s="350"/>
      <c r="K64" s="362"/>
      <c r="L64" s="362"/>
      <c r="M64" s="362"/>
      <c r="N64" s="362"/>
      <c r="O64" s="350"/>
      <c r="P64" s="350"/>
      <c r="Q64" s="350"/>
      <c r="R64" s="350"/>
      <c r="S64" s="362"/>
      <c r="T64" s="350">
        <f t="shared" si="0"/>
        <v>129000</v>
      </c>
      <c r="AB64" s="306">
        <f t="shared" si="1"/>
        <v>129000</v>
      </c>
    </row>
    <row r="65" spans="1:28" s="306" customFormat="1" x14ac:dyDescent="0.25">
      <c r="A65" s="349" t="s">
        <v>25</v>
      </c>
      <c r="B65" s="96"/>
      <c r="C65" s="96">
        <v>1060502000</v>
      </c>
      <c r="D65" s="303">
        <f>IFERROR(VLOOKUP($C65,'Restated FC1-Pre TB 2023'!$C$10:$H$271,6,FALSE),0)</f>
        <v>14857994.039999999</v>
      </c>
      <c r="E65" s="303">
        <f>IFERROR(VLOOKUP($C65,'Restated FC1-Pre TB 2023'!$C$10:$I$271,7,FALSE),0)</f>
        <v>0</v>
      </c>
      <c r="F65" s="362"/>
      <c r="G65" s="303"/>
      <c r="H65" s="350"/>
      <c r="I65" s="350"/>
      <c r="J65" s="350"/>
      <c r="K65" s="362"/>
      <c r="L65" s="362"/>
      <c r="M65" s="362"/>
      <c r="N65" s="362"/>
      <c r="O65" s="350"/>
      <c r="P65" s="350"/>
      <c r="Q65" s="350"/>
      <c r="R65" s="350"/>
      <c r="S65" s="362"/>
      <c r="T65" s="350">
        <f t="shared" si="0"/>
        <v>14857994.039999999</v>
      </c>
      <c r="AB65" s="306">
        <f t="shared" si="1"/>
        <v>14857994.039999999</v>
      </c>
    </row>
    <row r="66" spans="1:28" s="387" customFormat="1" ht="31.5" x14ac:dyDescent="0.25">
      <c r="A66" s="349" t="s">
        <v>102</v>
      </c>
      <c r="B66" s="96"/>
      <c r="C66" s="96">
        <v>1060503000</v>
      </c>
      <c r="D66" s="303">
        <f>IFERROR(VLOOKUP($C66,'Restated FC1-Pre TB 2023'!$C$10:$H$271,6,FALSE),0)</f>
        <v>46705026.770000003</v>
      </c>
      <c r="E66" s="303">
        <f>IFERROR(VLOOKUP($C66,'Restated FC1-Pre TB 2023'!$C$10:$I$271,7,FALSE),0)</f>
        <v>0</v>
      </c>
      <c r="F66" s="385"/>
      <c r="G66" s="380"/>
      <c r="H66" s="386"/>
      <c r="I66" s="386"/>
      <c r="J66" s="386"/>
      <c r="K66" s="385"/>
      <c r="L66" s="385"/>
      <c r="M66" s="385"/>
      <c r="N66" s="385"/>
      <c r="O66" s="386"/>
      <c r="P66" s="386"/>
      <c r="Q66" s="386"/>
      <c r="R66" s="386"/>
      <c r="S66" s="385"/>
      <c r="T66" s="350">
        <f t="shared" si="0"/>
        <v>46705026.770000003</v>
      </c>
      <c r="AB66" s="306">
        <f t="shared" si="1"/>
        <v>46705026.770000003</v>
      </c>
    </row>
    <row r="67" spans="1:28" s="306" customFormat="1" x14ac:dyDescent="0.25">
      <c r="A67" s="349" t="s">
        <v>26</v>
      </c>
      <c r="B67" s="99"/>
      <c r="C67" s="96">
        <v>1060507000</v>
      </c>
      <c r="D67" s="303">
        <f>IFERROR(VLOOKUP($C67,'Restated FC1-Pre TB 2023'!$C$10:$H$271,6,FALSE),0)</f>
        <v>7834252.96</v>
      </c>
      <c r="E67" s="303">
        <f>IFERROR(VLOOKUP($C67,'Restated FC1-Pre TB 2023'!$C$10:$I$271,7,FALSE),0)</f>
        <v>0</v>
      </c>
      <c r="F67" s="362"/>
      <c r="G67" s="303"/>
      <c r="H67" s="350"/>
      <c r="I67" s="350"/>
      <c r="J67" s="350"/>
      <c r="K67" s="362"/>
      <c r="L67" s="362"/>
      <c r="M67" s="362"/>
      <c r="N67" s="362"/>
      <c r="O67" s="350"/>
      <c r="P67" s="350"/>
      <c r="Q67" s="350"/>
      <c r="R67" s="350"/>
      <c r="S67" s="362"/>
      <c r="T67" s="350">
        <f t="shared" si="0"/>
        <v>7834252.96</v>
      </c>
      <c r="AB67" s="306">
        <f t="shared" si="1"/>
        <v>7834252.96</v>
      </c>
    </row>
    <row r="68" spans="1:28" s="306" customFormat="1" hidden="1" x14ac:dyDescent="0.25">
      <c r="A68" s="349" t="s">
        <v>103</v>
      </c>
      <c r="B68" s="96"/>
      <c r="C68" s="96">
        <v>1060509000</v>
      </c>
      <c r="D68" s="303">
        <f>IFERROR(VLOOKUP($C68,'Restated FC1-Pre TB 2023'!$C$10:$H$271,6,FALSE),0)</f>
        <v>0</v>
      </c>
      <c r="E68" s="303">
        <f>IFERROR(VLOOKUP($C68,'Restated FC1-Pre TB 2023'!$C$10:$I$271,7,FALSE),0)</f>
        <v>0</v>
      </c>
      <c r="F68" s="362"/>
      <c r="G68" s="303"/>
      <c r="H68" s="350"/>
      <c r="I68" s="350"/>
      <c r="J68" s="350"/>
      <c r="K68" s="362"/>
      <c r="L68" s="362"/>
      <c r="M68" s="362"/>
      <c r="N68" s="362"/>
      <c r="O68" s="350"/>
      <c r="P68" s="350"/>
      <c r="Q68" s="350"/>
      <c r="R68" s="350"/>
      <c r="S68" s="362"/>
      <c r="T68" s="350">
        <f t="shared" si="0"/>
        <v>0</v>
      </c>
      <c r="AB68" s="306">
        <f t="shared" si="1"/>
        <v>0</v>
      </c>
    </row>
    <row r="69" spans="1:28" s="306" customFormat="1" hidden="1" x14ac:dyDescent="0.25">
      <c r="A69" s="349" t="s">
        <v>104</v>
      </c>
      <c r="B69" s="96"/>
      <c r="C69" s="96">
        <v>1060511000</v>
      </c>
      <c r="D69" s="303">
        <f>IFERROR(VLOOKUP($C69,'Restated FC1-Pre TB 2023'!$C$10:$H$271,6,FALSE),0)</f>
        <v>0</v>
      </c>
      <c r="E69" s="303">
        <f>IFERROR(VLOOKUP($C69,'Restated FC1-Pre TB 2023'!$C$10:$I$271,7,FALSE),0)</f>
        <v>0</v>
      </c>
      <c r="F69" s="362"/>
      <c r="G69" s="303"/>
      <c r="H69" s="350"/>
      <c r="I69" s="350"/>
      <c r="J69" s="350"/>
      <c r="K69" s="362"/>
      <c r="L69" s="362"/>
      <c r="M69" s="362"/>
      <c r="N69" s="362"/>
      <c r="O69" s="350"/>
      <c r="P69" s="350"/>
      <c r="Q69" s="350"/>
      <c r="R69" s="350"/>
      <c r="S69" s="362"/>
      <c r="T69" s="350">
        <f t="shared" si="0"/>
        <v>0</v>
      </c>
      <c r="AB69" s="306">
        <f t="shared" si="1"/>
        <v>0</v>
      </c>
    </row>
    <row r="70" spans="1:28" s="306" customFormat="1" x14ac:dyDescent="0.25">
      <c r="A70" s="349" t="s">
        <v>27</v>
      </c>
      <c r="B70" s="96"/>
      <c r="C70" s="96">
        <v>1060513000</v>
      </c>
      <c r="D70" s="303">
        <f>IFERROR(VLOOKUP($C70,'Restated FC1-Pre TB 2023'!$C$10:$H$271,6,FALSE),0)</f>
        <v>158769</v>
      </c>
      <c r="E70" s="303">
        <f>IFERROR(VLOOKUP($C70,'Restated FC1-Pre TB 2023'!$C$10:$I$271,7,FALSE),0)</f>
        <v>0</v>
      </c>
      <c r="F70" s="362"/>
      <c r="G70" s="303"/>
      <c r="H70" s="350"/>
      <c r="I70" s="350"/>
      <c r="J70" s="350"/>
      <c r="K70" s="362"/>
      <c r="L70" s="362"/>
      <c r="M70" s="362"/>
      <c r="N70" s="362"/>
      <c r="O70" s="350"/>
      <c r="P70" s="350"/>
      <c r="Q70" s="350"/>
      <c r="R70" s="350"/>
      <c r="S70" s="362"/>
      <c r="T70" s="350">
        <f t="shared" si="0"/>
        <v>158769</v>
      </c>
      <c r="AB70" s="306">
        <f t="shared" si="1"/>
        <v>158769</v>
      </c>
    </row>
    <row r="71" spans="1:28" s="306" customFormat="1" x14ac:dyDescent="0.25">
      <c r="A71" s="349" t="s">
        <v>265</v>
      </c>
      <c r="B71" s="96"/>
      <c r="C71" s="96">
        <v>1060514000</v>
      </c>
      <c r="D71" s="303">
        <f>IFERROR(VLOOKUP($C71,'Restated FC1-Pre TB 2023'!$C$10:$H$271,6,FALSE),0)</f>
        <v>305078.56</v>
      </c>
      <c r="E71" s="303">
        <f>IFERROR(VLOOKUP($C71,'Restated FC1-Pre TB 2023'!$C$10:$I$271,7,FALSE),0)</f>
        <v>0</v>
      </c>
      <c r="F71" s="362"/>
      <c r="G71" s="303"/>
      <c r="H71" s="350"/>
      <c r="I71" s="350"/>
      <c r="J71" s="350"/>
      <c r="K71" s="362"/>
      <c r="L71" s="362"/>
      <c r="M71" s="362"/>
      <c r="N71" s="362"/>
      <c r="O71" s="350"/>
      <c r="P71" s="350"/>
      <c r="Q71" s="350"/>
      <c r="R71" s="350"/>
      <c r="S71" s="362"/>
      <c r="T71" s="350">
        <f t="shared" si="0"/>
        <v>305078.56</v>
      </c>
      <c r="AB71" s="306">
        <f t="shared" si="1"/>
        <v>305078.56</v>
      </c>
    </row>
    <row r="72" spans="1:28" s="306" customFormat="1" x14ac:dyDescent="0.25">
      <c r="A72" s="349" t="s">
        <v>489</v>
      </c>
      <c r="B72" s="96"/>
      <c r="C72" s="96">
        <v>1060599000</v>
      </c>
      <c r="D72" s="303">
        <f>IFERROR(VLOOKUP($C72,'Restated FC1-Pre TB 2023'!$C$10:$H$271,6,FALSE),0)</f>
        <v>1319463.77</v>
      </c>
      <c r="E72" s="303">
        <f>IFERROR(VLOOKUP($C72,'Restated FC1-Pre TB 2023'!$C$10:$I$271,7,FALSE),0)</f>
        <v>0</v>
      </c>
      <c r="F72" s="362"/>
      <c r="G72" s="303"/>
      <c r="H72" s="350"/>
      <c r="I72" s="350"/>
      <c r="J72" s="350"/>
      <c r="K72" s="362"/>
      <c r="L72" s="362"/>
      <c r="M72" s="362"/>
      <c r="N72" s="362"/>
      <c r="O72" s="350"/>
      <c r="P72" s="350"/>
      <c r="Q72" s="350"/>
      <c r="R72" s="350"/>
      <c r="S72" s="362"/>
      <c r="T72" s="350">
        <f t="shared" si="0"/>
        <v>1319463.77</v>
      </c>
      <c r="AB72" s="306">
        <f t="shared" si="1"/>
        <v>1319463.77</v>
      </c>
    </row>
    <row r="73" spans="1:28" s="306" customFormat="1" x14ac:dyDescent="0.25">
      <c r="A73" s="349" t="s">
        <v>28</v>
      </c>
      <c r="B73" s="96"/>
      <c r="C73" s="96">
        <v>1060601000</v>
      </c>
      <c r="D73" s="303">
        <f>IFERROR(VLOOKUP($C73,'Restated FC1-Pre TB 2023'!$C$10:$H$271,6,FALSE),0)</f>
        <v>45937041.759999998</v>
      </c>
      <c r="E73" s="303">
        <f>IFERROR(VLOOKUP($C73,'Restated FC1-Pre TB 2023'!$C$10:$I$271,7,FALSE),0)</f>
        <v>0</v>
      </c>
      <c r="F73" s="362"/>
      <c r="G73" s="303"/>
      <c r="H73" s="350"/>
      <c r="I73" s="350"/>
      <c r="J73" s="350"/>
      <c r="K73" s="362"/>
      <c r="L73" s="362"/>
      <c r="M73" s="362"/>
      <c r="N73" s="362"/>
      <c r="O73" s="350"/>
      <c r="P73" s="350"/>
      <c r="Q73" s="350"/>
      <c r="R73" s="350"/>
      <c r="S73" s="362"/>
      <c r="T73" s="350">
        <f t="shared" si="0"/>
        <v>45937041.759999998</v>
      </c>
      <c r="AB73" s="306">
        <f t="shared" si="1"/>
        <v>45937041.759999998</v>
      </c>
    </row>
    <row r="74" spans="1:28" s="306" customFormat="1" hidden="1" x14ac:dyDescent="0.25">
      <c r="A74" s="349" t="s">
        <v>87</v>
      </c>
      <c r="B74" s="96"/>
      <c r="C74" s="96">
        <v>1069999000</v>
      </c>
      <c r="D74" s="303">
        <f>IFERROR(VLOOKUP($C74,'Restated FC1-Pre TB 2023'!$C$10:$H$271,6,FALSE),0)</f>
        <v>0</v>
      </c>
      <c r="E74" s="303">
        <f>IFERROR(VLOOKUP($C74,'Restated FC1-Pre TB 2023'!$C$10:$I$271,7,FALSE),0)</f>
        <v>0</v>
      </c>
      <c r="F74" s="362"/>
      <c r="G74" s="303"/>
      <c r="H74" s="350"/>
      <c r="I74" s="350"/>
      <c r="J74" s="350"/>
      <c r="K74" s="362"/>
      <c r="L74" s="362"/>
      <c r="M74" s="362"/>
      <c r="N74" s="362"/>
      <c r="O74" s="350"/>
      <c r="P74" s="350"/>
      <c r="Q74" s="350"/>
      <c r="R74" s="350"/>
      <c r="S74" s="362"/>
      <c r="T74" s="350">
        <f t="shared" si="0"/>
        <v>0</v>
      </c>
      <c r="AB74" s="306">
        <f t="shared" si="1"/>
        <v>0</v>
      </c>
    </row>
    <row r="75" spans="1:28" s="306" customFormat="1" x14ac:dyDescent="0.25">
      <c r="A75" s="349" t="s">
        <v>354</v>
      </c>
      <c r="B75" s="96"/>
      <c r="C75" s="96">
        <v>1080102000</v>
      </c>
      <c r="D75" s="303">
        <f>IFERROR(VLOOKUP($C75,'Restated FC1-Pre TB 2023'!$C$10:$H$271,6,FALSE),0)</f>
        <v>997450</v>
      </c>
      <c r="E75" s="303">
        <f>IFERROR(VLOOKUP($C75,'Restated FC1-Pre TB 2023'!$C$10:$I$271,7,FALSE),0)</f>
        <v>0</v>
      </c>
      <c r="F75" s="362"/>
      <c r="G75" s="303"/>
      <c r="H75" s="350"/>
      <c r="I75" s="350"/>
      <c r="J75" s="350"/>
      <c r="K75" s="362"/>
      <c r="L75" s="362"/>
      <c r="M75" s="362"/>
      <c r="N75" s="362"/>
      <c r="O75" s="350"/>
      <c r="P75" s="350"/>
      <c r="Q75" s="350"/>
      <c r="R75" s="350"/>
      <c r="S75" s="362"/>
      <c r="T75" s="350">
        <f t="shared" si="0"/>
        <v>997450</v>
      </c>
      <c r="AB75" s="306">
        <f t="shared" ref="AB75:AB138" si="2">D75+E75</f>
        <v>997450</v>
      </c>
    </row>
    <row r="76" spans="1:28" s="306" customFormat="1" x14ac:dyDescent="0.25">
      <c r="A76" s="349" t="s">
        <v>226</v>
      </c>
      <c r="B76" s="96"/>
      <c r="C76" s="96">
        <v>1990201000</v>
      </c>
      <c r="D76" s="303">
        <f>IFERROR(VLOOKUP($C76,'Restated FC1-Pre TB 2023'!$C$10:$H$271,6,FALSE),0)</f>
        <v>2924469.03</v>
      </c>
      <c r="E76" s="303">
        <f>IFERROR(VLOOKUP($C76,'Restated FC1-Pre TB 2023'!$C$10:$I$271,7,FALSE),0)</f>
        <v>0</v>
      </c>
      <c r="F76" s="362"/>
      <c r="G76" s="303"/>
      <c r="H76" s="350"/>
      <c r="I76" s="350"/>
      <c r="J76" s="350"/>
      <c r="K76" s="362"/>
      <c r="L76" s="362"/>
      <c r="M76" s="362"/>
      <c r="N76" s="362"/>
      <c r="O76" s="350"/>
      <c r="P76" s="350"/>
      <c r="Q76" s="350"/>
      <c r="R76" s="350"/>
      <c r="S76" s="362"/>
      <c r="T76" s="350">
        <f t="shared" si="0"/>
        <v>2924469.03</v>
      </c>
      <c r="AB76" s="306">
        <f t="shared" si="2"/>
        <v>2924469.03</v>
      </c>
    </row>
    <row r="77" spans="1:28" s="306" customFormat="1" x14ac:dyDescent="0.25">
      <c r="A77" s="349" t="s">
        <v>225</v>
      </c>
      <c r="B77" s="96"/>
      <c r="C77" s="96">
        <v>1990202000</v>
      </c>
      <c r="D77" s="303">
        <f>IFERROR(VLOOKUP($C77,'Restated FC1-Pre TB 2023'!$C$10:$H$271,6,FALSE),0)</f>
        <v>153261.57</v>
      </c>
      <c r="E77" s="303">
        <f>IFERROR(VLOOKUP($C77,'Restated FC1-Pre TB 2023'!$C$10:$I$271,7,FALSE),0)</f>
        <v>0</v>
      </c>
      <c r="F77" s="362"/>
      <c r="G77" s="303"/>
      <c r="H77" s="350"/>
      <c r="I77" s="350"/>
      <c r="J77" s="350"/>
      <c r="K77" s="362"/>
      <c r="L77" s="362"/>
      <c r="M77" s="362"/>
      <c r="N77" s="362"/>
      <c r="O77" s="350"/>
      <c r="P77" s="350"/>
      <c r="Q77" s="350"/>
      <c r="R77" s="350"/>
      <c r="S77" s="362"/>
      <c r="T77" s="350">
        <f t="shared" ref="T77:T140" si="3">D77+E77</f>
        <v>153261.57</v>
      </c>
      <c r="AB77" s="306">
        <f t="shared" si="2"/>
        <v>153261.57</v>
      </c>
    </row>
    <row r="78" spans="1:28" s="306" customFormat="1" x14ac:dyDescent="0.25">
      <c r="A78" s="349" t="s">
        <v>224</v>
      </c>
      <c r="B78" s="96"/>
      <c r="C78" s="96">
        <v>1990205000</v>
      </c>
      <c r="D78" s="303">
        <f>IFERROR(VLOOKUP($C78,'Restated FC1-Pre TB 2023'!$C$10:$H$271,6,FALSE),0)</f>
        <v>947497.91083336482</v>
      </c>
      <c r="E78" s="303">
        <f>IFERROR(VLOOKUP($C78,'Restated FC1-Pre TB 2023'!$C$10:$I$271,7,FALSE),0)</f>
        <v>0</v>
      </c>
      <c r="F78" s="362"/>
      <c r="G78" s="303"/>
      <c r="H78" s="350"/>
      <c r="I78" s="350"/>
      <c r="J78" s="350"/>
      <c r="K78" s="362"/>
      <c r="L78" s="362"/>
      <c r="M78" s="362"/>
      <c r="N78" s="362"/>
      <c r="O78" s="350"/>
      <c r="P78" s="350"/>
      <c r="Q78" s="350"/>
      <c r="R78" s="350"/>
      <c r="S78" s="362"/>
      <c r="T78" s="350">
        <f t="shared" si="3"/>
        <v>947497.91083336482</v>
      </c>
      <c r="AB78" s="306">
        <f t="shared" si="2"/>
        <v>947497.91083336482</v>
      </c>
    </row>
    <row r="79" spans="1:28" hidden="1" x14ac:dyDescent="0.25">
      <c r="A79" s="349" t="s">
        <v>459</v>
      </c>
      <c r="B79" s="96"/>
      <c r="C79" s="96">
        <v>1990210001</v>
      </c>
      <c r="D79" s="303">
        <f>IFERROR(VLOOKUP($C79,'Restated FC1-Pre TB 2023'!$C$10:$H$271,6,FALSE),0)</f>
        <v>0</v>
      </c>
      <c r="E79" s="303">
        <f>IFERROR(VLOOKUP($C79,'Restated FC1-Pre TB 2023'!$C$10:$I$271,7,FALSE),0)</f>
        <v>0</v>
      </c>
      <c r="G79" s="303"/>
      <c r="H79" s="350"/>
      <c r="I79" s="350"/>
      <c r="J79" s="350"/>
      <c r="K79" s="362"/>
      <c r="L79" s="350"/>
      <c r="M79" s="362"/>
      <c r="N79" s="362"/>
      <c r="O79" s="350"/>
      <c r="P79" s="350"/>
      <c r="Q79" s="350"/>
      <c r="R79" s="350"/>
      <c r="S79" s="362"/>
      <c r="T79" s="350">
        <f t="shared" si="3"/>
        <v>0</v>
      </c>
      <c r="AB79" s="306">
        <f t="shared" si="2"/>
        <v>0</v>
      </c>
    </row>
    <row r="80" spans="1:28" x14ac:dyDescent="0.25">
      <c r="A80" s="349" t="s">
        <v>383</v>
      </c>
      <c r="B80" s="96"/>
      <c r="C80" s="96">
        <v>1060299100</v>
      </c>
      <c r="D80" s="303">
        <f>IFERROR(VLOOKUP($C80,'Restated FC1-Pre TB 2023'!$C$10:$H$271,6,FALSE),0)</f>
        <v>0</v>
      </c>
      <c r="E80" s="303">
        <f>IFERROR(VLOOKUP($C80,'Restated FC1-Pre TB 2023'!$C$10:$I$271,7,FALSE),0)</f>
        <v>444174.78</v>
      </c>
      <c r="G80" s="303"/>
      <c r="H80" s="350"/>
      <c r="I80" s="350"/>
      <c r="J80" s="350"/>
      <c r="K80" s="362"/>
      <c r="L80" s="362"/>
      <c r="M80" s="362"/>
      <c r="N80" s="362"/>
      <c r="O80" s="350"/>
      <c r="P80" s="350"/>
      <c r="Q80" s="350"/>
      <c r="R80" s="350"/>
      <c r="S80" s="362"/>
      <c r="T80" s="350">
        <f t="shared" si="3"/>
        <v>444174.78</v>
      </c>
      <c r="AB80" s="306">
        <f t="shared" si="2"/>
        <v>444174.78</v>
      </c>
    </row>
    <row r="81" spans="1:28" x14ac:dyDescent="0.25">
      <c r="A81" s="349" t="s">
        <v>359</v>
      </c>
      <c r="B81" s="96"/>
      <c r="C81" s="96">
        <v>1060401100</v>
      </c>
      <c r="D81" s="303">
        <f>IFERROR(VLOOKUP($C81,'Restated FC1-Pre TB 2023'!$C$10:$H$271,6,FALSE),0)</f>
        <v>0</v>
      </c>
      <c r="E81" s="303">
        <f>IFERROR(VLOOKUP($C81,'Restated FC1-Pre TB 2023'!$C$10:$I$271,7,FALSE),0)</f>
        <v>37292530.519999996</v>
      </c>
      <c r="G81" s="303"/>
      <c r="H81" s="350"/>
      <c r="I81" s="350"/>
      <c r="J81" s="350"/>
      <c r="K81" s="362"/>
      <c r="L81" s="362"/>
      <c r="M81" s="362"/>
      <c r="N81" s="362"/>
      <c r="O81" s="350"/>
      <c r="P81" s="350"/>
      <c r="Q81" s="350"/>
      <c r="R81" s="350"/>
      <c r="S81" s="362"/>
      <c r="T81" s="350">
        <f t="shared" si="3"/>
        <v>37292530.519999996</v>
      </c>
      <c r="AB81" s="306">
        <f t="shared" si="2"/>
        <v>37292530.519999996</v>
      </c>
    </row>
    <row r="82" spans="1:28" x14ac:dyDescent="0.25">
      <c r="A82" s="349" t="s">
        <v>106</v>
      </c>
      <c r="B82" s="96"/>
      <c r="C82" s="96">
        <v>1060499100</v>
      </c>
      <c r="D82" s="303">
        <f>IFERROR(VLOOKUP($C82,'Restated FC1-Pre TB 2023'!$C$10:$H$271,6,FALSE),0)</f>
        <v>0</v>
      </c>
      <c r="E82" s="303">
        <f>IFERROR(VLOOKUP($C82,'Restated FC1-Pre TB 2023'!$C$10:$I$271,7,FALSE),0)</f>
        <v>3584100.44</v>
      </c>
      <c r="G82" s="303"/>
      <c r="H82" s="350"/>
      <c r="I82" s="350"/>
      <c r="J82" s="350"/>
      <c r="K82" s="362"/>
      <c r="L82" s="350"/>
      <c r="M82" s="362"/>
      <c r="N82" s="362"/>
      <c r="O82" s="350"/>
      <c r="P82" s="350"/>
      <c r="Q82" s="350"/>
      <c r="R82" s="350"/>
      <c r="S82" s="362"/>
      <c r="T82" s="350">
        <f t="shared" si="3"/>
        <v>3584100.44</v>
      </c>
      <c r="AB82" s="306">
        <f t="shared" si="2"/>
        <v>3584100.44</v>
      </c>
    </row>
    <row r="83" spans="1:28" x14ac:dyDescent="0.25">
      <c r="A83" s="349" t="s">
        <v>89</v>
      </c>
      <c r="B83" s="96"/>
      <c r="C83" s="96">
        <v>1060701100</v>
      </c>
      <c r="D83" s="303">
        <f>IFERROR(VLOOKUP($C83,'Restated FC1-Pre TB 2023'!$C$10:$H$271,6,FALSE),0)</f>
        <v>0</v>
      </c>
      <c r="E83" s="303">
        <f>IFERROR(VLOOKUP($C83,'Restated FC1-Pre TB 2023'!$C$10:$I$271,7,FALSE),0)</f>
        <v>170593.95</v>
      </c>
      <c r="G83" s="303"/>
      <c r="H83" s="350"/>
      <c r="I83" s="350"/>
      <c r="J83" s="350"/>
      <c r="K83" s="362"/>
      <c r="L83" s="362"/>
      <c r="M83" s="362"/>
      <c r="N83" s="362"/>
      <c r="O83" s="350"/>
      <c r="P83" s="350"/>
      <c r="Q83" s="350"/>
      <c r="R83" s="350"/>
      <c r="S83" s="362"/>
      <c r="T83" s="350">
        <f t="shared" si="3"/>
        <v>170593.95</v>
      </c>
      <c r="AB83" s="306">
        <f t="shared" si="2"/>
        <v>170593.95</v>
      </c>
    </row>
    <row r="84" spans="1:28" hidden="1" x14ac:dyDescent="0.25">
      <c r="A84" s="349" t="s">
        <v>107</v>
      </c>
      <c r="B84" s="96"/>
      <c r="C84" s="96">
        <v>1060702100</v>
      </c>
      <c r="D84" s="303">
        <f>IFERROR(VLOOKUP($C84,'Restated FC1-Pre TB 2023'!$C$10:$H$271,6,FALSE),0)</f>
        <v>0</v>
      </c>
      <c r="E84" s="303">
        <f>IFERROR(VLOOKUP($C84,'Restated FC1-Pre TB 2023'!$C$10:$I$271,7,FALSE),0)</f>
        <v>0</v>
      </c>
      <c r="G84" s="303"/>
      <c r="H84" s="350"/>
      <c r="I84" s="350"/>
      <c r="J84" s="350"/>
      <c r="K84" s="362"/>
      <c r="L84" s="362"/>
      <c r="M84" s="362"/>
      <c r="N84" s="362"/>
      <c r="O84" s="350"/>
      <c r="P84" s="350"/>
      <c r="Q84" s="350"/>
      <c r="R84" s="350"/>
      <c r="S84" s="362"/>
      <c r="T84" s="350">
        <f t="shared" si="3"/>
        <v>0</v>
      </c>
      <c r="AB84" s="306">
        <f t="shared" si="2"/>
        <v>0</v>
      </c>
    </row>
    <row r="85" spans="1:28" x14ac:dyDescent="0.25">
      <c r="A85" s="349" t="s">
        <v>88</v>
      </c>
      <c r="B85" s="96"/>
      <c r="C85" s="96">
        <v>1060502100</v>
      </c>
      <c r="D85" s="303">
        <f>IFERROR(VLOOKUP($C85,'Restated FC1-Pre TB 2023'!$C$10:$H$271,6,FALSE),0)</f>
        <v>0</v>
      </c>
      <c r="E85" s="303">
        <f>IFERROR(VLOOKUP($C85,'Restated FC1-Pre TB 2023'!$C$10:$I$271,7,FALSE),0)</f>
        <v>11188319.699999999</v>
      </c>
      <c r="G85" s="303"/>
      <c r="H85" s="350"/>
      <c r="I85" s="350"/>
      <c r="J85" s="350"/>
      <c r="K85" s="362"/>
      <c r="L85" s="362"/>
      <c r="M85" s="362"/>
      <c r="N85" s="362"/>
      <c r="O85" s="350"/>
      <c r="P85" s="350"/>
      <c r="Q85" s="350"/>
      <c r="R85" s="350"/>
      <c r="S85" s="362"/>
      <c r="T85" s="350">
        <f t="shared" si="3"/>
        <v>11188319.699999999</v>
      </c>
      <c r="AB85" s="306">
        <f t="shared" si="2"/>
        <v>11188319.699999999</v>
      </c>
    </row>
    <row r="86" spans="1:28" ht="31.5" x14ac:dyDescent="0.25">
      <c r="A86" s="349" t="s">
        <v>399</v>
      </c>
      <c r="B86" s="96"/>
      <c r="C86" s="96">
        <v>1060503100</v>
      </c>
      <c r="D86" s="303">
        <f>IFERROR(VLOOKUP($C86,'Restated FC1-Pre TB 2023'!$C$10:$H$271,6,FALSE),0)</f>
        <v>0</v>
      </c>
      <c r="E86" s="303">
        <f>IFERROR(VLOOKUP($C86,'Restated FC1-Pre TB 2023'!$C$10:$I$271,7,FALSE),0)</f>
        <v>20021445.039999999</v>
      </c>
      <c r="G86" s="303"/>
      <c r="H86" s="350"/>
      <c r="I86" s="350"/>
      <c r="J86" s="350"/>
      <c r="K86" s="362"/>
      <c r="L86" s="362"/>
      <c r="M86" s="362"/>
      <c r="N86" s="362"/>
      <c r="O86" s="350"/>
      <c r="P86" s="350"/>
      <c r="Q86" s="350"/>
      <c r="R86" s="350"/>
      <c r="S86" s="362"/>
      <c r="T86" s="350">
        <f t="shared" si="3"/>
        <v>20021445.039999999</v>
      </c>
      <c r="AB86" s="306">
        <f t="shared" si="2"/>
        <v>20021445.039999999</v>
      </c>
    </row>
    <row r="87" spans="1:28" s="306" customFormat="1" ht="31.5" x14ac:dyDescent="0.25">
      <c r="A87" s="349" t="s">
        <v>418</v>
      </c>
      <c r="B87" s="96"/>
      <c r="C87" s="96">
        <v>1060803100</v>
      </c>
      <c r="D87" s="303">
        <f>IFERROR(VLOOKUP($C87,'Restated FC1-Pre TB 2023'!$C$10:$H$271,6,FALSE),0)</f>
        <v>0</v>
      </c>
      <c r="E87" s="303">
        <f>IFERROR(VLOOKUP($C87,'Restated FC1-Pre TB 2023'!$C$10:$I$271,7,FALSE),0)</f>
        <v>30637.5</v>
      </c>
      <c r="F87" s="362"/>
      <c r="G87" s="303"/>
      <c r="H87" s="350"/>
      <c r="I87" s="350"/>
      <c r="J87" s="350"/>
      <c r="K87" s="362"/>
      <c r="L87" s="362"/>
      <c r="M87" s="362"/>
      <c r="N87" s="362"/>
      <c r="O87" s="350"/>
      <c r="P87" s="350"/>
      <c r="Q87" s="350"/>
      <c r="R87" s="350"/>
      <c r="S87" s="362"/>
      <c r="T87" s="350">
        <f t="shared" si="3"/>
        <v>30637.5</v>
      </c>
      <c r="AB87" s="306">
        <f t="shared" si="2"/>
        <v>30637.5</v>
      </c>
    </row>
    <row r="88" spans="1:28" s="306" customFormat="1" x14ac:dyDescent="0.25">
      <c r="A88" s="349" t="s">
        <v>90</v>
      </c>
      <c r="B88" s="96"/>
      <c r="C88" s="96">
        <v>1060507100</v>
      </c>
      <c r="D88" s="303">
        <f>IFERROR(VLOOKUP($C88,'Restated FC1-Pre TB 2023'!$C$10:$H$271,6,FALSE),0)</f>
        <v>0</v>
      </c>
      <c r="E88" s="303">
        <f>IFERROR(VLOOKUP($C88,'Restated FC1-Pre TB 2023'!$C$10:$I$271,7,FALSE),0)</f>
        <v>575464.92000000004</v>
      </c>
      <c r="F88" s="362"/>
      <c r="G88" s="303"/>
      <c r="H88" s="350"/>
      <c r="I88" s="350"/>
      <c r="J88" s="350"/>
      <c r="K88" s="362"/>
      <c r="L88" s="362"/>
      <c r="M88" s="362"/>
      <c r="N88" s="362"/>
      <c r="O88" s="350"/>
      <c r="P88" s="350"/>
      <c r="Q88" s="350"/>
      <c r="R88" s="350"/>
      <c r="S88" s="362"/>
      <c r="T88" s="350">
        <f t="shared" si="3"/>
        <v>575464.92000000004</v>
      </c>
      <c r="AB88" s="306">
        <f t="shared" si="2"/>
        <v>575464.92000000004</v>
      </c>
    </row>
    <row r="89" spans="1:28" s="306" customFormat="1" ht="31.5" hidden="1" x14ac:dyDescent="0.25">
      <c r="A89" s="349" t="s">
        <v>108</v>
      </c>
      <c r="B89" s="96"/>
      <c r="C89" s="96">
        <v>1060509100</v>
      </c>
      <c r="D89" s="303">
        <f>IFERROR(VLOOKUP($C89,'Restated FC1-Pre TB 2023'!$C$10:$H$271,6,FALSE),0)</f>
        <v>0</v>
      </c>
      <c r="E89" s="303">
        <f>IFERROR(VLOOKUP($C89,'Restated FC1-Pre TB 2023'!$C$10:$I$271,7,FALSE),0)</f>
        <v>0</v>
      </c>
      <c r="F89" s="362"/>
      <c r="G89" s="303"/>
      <c r="H89" s="350"/>
      <c r="I89" s="350"/>
      <c r="J89" s="350"/>
      <c r="K89" s="362"/>
      <c r="L89" s="362"/>
      <c r="M89" s="362"/>
      <c r="N89" s="362"/>
      <c r="O89" s="350"/>
      <c r="P89" s="350"/>
      <c r="Q89" s="350"/>
      <c r="R89" s="350"/>
      <c r="S89" s="362"/>
      <c r="T89" s="350">
        <f t="shared" si="3"/>
        <v>0</v>
      </c>
      <c r="AB89" s="306">
        <f t="shared" si="2"/>
        <v>0</v>
      </c>
    </row>
    <row r="90" spans="1:28" s="306" customFormat="1" hidden="1" x14ac:dyDescent="0.25">
      <c r="A90" s="349" t="s">
        <v>109</v>
      </c>
      <c r="B90" s="96"/>
      <c r="C90" s="96">
        <v>1060511100</v>
      </c>
      <c r="D90" s="303">
        <f>IFERROR(VLOOKUP($C90,'Restated FC1-Pre TB 2023'!$C$10:$H$271,6,FALSE),0)</f>
        <v>0</v>
      </c>
      <c r="E90" s="303">
        <f>IFERROR(VLOOKUP($C90,'Restated FC1-Pre TB 2023'!$C$10:$I$271,7,FALSE),0)</f>
        <v>0</v>
      </c>
      <c r="F90" s="362"/>
      <c r="G90" s="303"/>
      <c r="H90" s="350"/>
      <c r="I90" s="350"/>
      <c r="J90" s="350"/>
      <c r="K90" s="362"/>
      <c r="L90" s="362"/>
      <c r="M90" s="362"/>
      <c r="N90" s="362"/>
      <c r="O90" s="350"/>
      <c r="P90" s="350"/>
      <c r="Q90" s="350"/>
      <c r="R90" s="350"/>
      <c r="S90" s="362"/>
      <c r="T90" s="350">
        <f t="shared" si="3"/>
        <v>0</v>
      </c>
      <c r="AB90" s="306">
        <f t="shared" si="2"/>
        <v>0</v>
      </c>
    </row>
    <row r="91" spans="1:28" s="306" customFormat="1" x14ac:dyDescent="0.25">
      <c r="A91" s="349" t="s">
        <v>91</v>
      </c>
      <c r="B91" s="99"/>
      <c r="C91" s="96">
        <v>1060513100</v>
      </c>
      <c r="D91" s="303">
        <f>IFERROR(VLOOKUP($C91,'Restated FC1-Pre TB 2023'!$C$10:$H$271,6,FALSE),0)</f>
        <v>0</v>
      </c>
      <c r="E91" s="303">
        <f>IFERROR(VLOOKUP($C91,'Restated FC1-Pre TB 2023'!$C$10:$I$271,7,FALSE),0)</f>
        <v>150830.54999999999</v>
      </c>
      <c r="F91" s="362"/>
      <c r="G91" s="303"/>
      <c r="H91" s="350"/>
      <c r="I91" s="350"/>
      <c r="J91" s="350"/>
      <c r="K91" s="362"/>
      <c r="L91" s="362"/>
      <c r="M91" s="362"/>
      <c r="N91" s="362"/>
      <c r="O91" s="350"/>
      <c r="P91" s="350"/>
      <c r="Q91" s="350"/>
      <c r="R91" s="350"/>
      <c r="S91" s="362"/>
      <c r="T91" s="350">
        <f t="shared" si="3"/>
        <v>150830.54999999999</v>
      </c>
      <c r="AB91" s="306">
        <f t="shared" si="2"/>
        <v>150830.54999999999</v>
      </c>
    </row>
    <row r="92" spans="1:28" s="306" customFormat="1" ht="31.5" x14ac:dyDescent="0.25">
      <c r="A92" s="349" t="s">
        <v>266</v>
      </c>
      <c r="B92" s="96"/>
      <c r="C92" s="96">
        <v>1060514100</v>
      </c>
      <c r="D92" s="303">
        <f>IFERROR(VLOOKUP($C92,'Restated FC1-Pre TB 2023'!$C$10:$H$271,6,FALSE),0)</f>
        <v>0</v>
      </c>
      <c r="E92" s="303">
        <f>IFERROR(VLOOKUP($C92,'Restated FC1-Pre TB 2023'!$C$10:$I$271,7,FALSE),0)</f>
        <v>248122.9</v>
      </c>
      <c r="F92" s="362"/>
      <c r="G92" s="303"/>
      <c r="H92" s="350"/>
      <c r="I92" s="350"/>
      <c r="J92" s="350"/>
      <c r="K92" s="362"/>
      <c r="L92" s="362"/>
      <c r="M92" s="362"/>
      <c r="N92" s="362"/>
      <c r="O92" s="350"/>
      <c r="P92" s="350"/>
      <c r="Q92" s="350"/>
      <c r="R92" s="350"/>
      <c r="S92" s="362"/>
      <c r="T92" s="350">
        <f t="shared" si="3"/>
        <v>248122.9</v>
      </c>
      <c r="AB92" s="306">
        <f t="shared" si="2"/>
        <v>248122.9</v>
      </c>
    </row>
    <row r="93" spans="1:28" s="306" customFormat="1" x14ac:dyDescent="0.25">
      <c r="A93" s="349" t="s">
        <v>490</v>
      </c>
      <c r="B93" s="96"/>
      <c r="C93" s="96">
        <v>1060599100</v>
      </c>
      <c r="D93" s="303">
        <f>IFERROR(VLOOKUP($C93,'Restated FC1-Pre TB 2023'!$C$10:$H$271,6,FALSE),0)</f>
        <v>0</v>
      </c>
      <c r="E93" s="303">
        <f>IFERROR(VLOOKUP($C93,'Restated FC1-Pre TB 2023'!$C$10:$I$271,7,FALSE),0)</f>
        <v>531016.44999999995</v>
      </c>
      <c r="F93" s="362"/>
      <c r="G93" s="303"/>
      <c r="H93" s="350"/>
      <c r="I93" s="350"/>
      <c r="J93" s="350"/>
      <c r="K93" s="362"/>
      <c r="L93" s="362"/>
      <c r="M93" s="362"/>
      <c r="N93" s="362"/>
      <c r="O93" s="350"/>
      <c r="P93" s="350"/>
      <c r="Q93" s="350"/>
      <c r="R93" s="350"/>
      <c r="S93" s="362"/>
      <c r="T93" s="350">
        <f t="shared" si="3"/>
        <v>531016.44999999995</v>
      </c>
      <c r="AB93" s="306">
        <f t="shared" si="2"/>
        <v>531016.44999999995</v>
      </c>
    </row>
    <row r="94" spans="1:28" s="306" customFormat="1" x14ac:dyDescent="0.25">
      <c r="A94" s="349" t="s">
        <v>92</v>
      </c>
      <c r="B94" s="96"/>
      <c r="C94" s="96">
        <v>1060601100</v>
      </c>
      <c r="D94" s="303">
        <f>IFERROR(VLOOKUP($C94,'Restated FC1-Pre TB 2023'!$C$10:$H$271,6,FALSE),0)</f>
        <v>0</v>
      </c>
      <c r="E94" s="303">
        <f>IFERROR(VLOOKUP($C94,'Restated FC1-Pre TB 2023'!$C$10:$I$271,7,FALSE),0)</f>
        <v>25885038.23</v>
      </c>
      <c r="F94" s="362"/>
      <c r="G94" s="303"/>
      <c r="H94" s="350"/>
      <c r="I94" s="350"/>
      <c r="J94" s="350"/>
      <c r="K94" s="362"/>
      <c r="L94" s="362"/>
      <c r="M94" s="362"/>
      <c r="N94" s="362"/>
      <c r="O94" s="350"/>
      <c r="P94" s="350"/>
      <c r="Q94" s="350"/>
      <c r="R94" s="350"/>
      <c r="S94" s="362"/>
      <c r="T94" s="350">
        <f t="shared" si="3"/>
        <v>25885038.23</v>
      </c>
      <c r="X94" s="306">
        <v>80</v>
      </c>
      <c r="AB94" s="306">
        <f t="shared" si="2"/>
        <v>25885038.23</v>
      </c>
    </row>
    <row r="95" spans="1:28" s="306" customFormat="1" ht="31.5" hidden="1" x14ac:dyDescent="0.25">
      <c r="A95" s="349" t="s">
        <v>93</v>
      </c>
      <c r="B95" s="96"/>
      <c r="C95" s="96">
        <v>1069999100</v>
      </c>
      <c r="D95" s="303">
        <f>IFERROR(VLOOKUP($C95,'Restated FC1-Pre TB 2023'!$C$10:$H$271,6,FALSE),0)</f>
        <v>0</v>
      </c>
      <c r="E95" s="303">
        <f>IFERROR(VLOOKUP($C95,'Restated FC1-Pre TB 2023'!$C$10:$I$271,7,FALSE),0)</f>
        <v>0</v>
      </c>
      <c r="F95" s="362"/>
      <c r="G95" s="303"/>
      <c r="H95" s="350"/>
      <c r="I95" s="350"/>
      <c r="J95" s="350"/>
      <c r="K95" s="362"/>
      <c r="L95" s="350"/>
      <c r="M95" s="362"/>
      <c r="N95" s="362"/>
      <c r="O95" s="350"/>
      <c r="P95" s="350"/>
      <c r="Q95" s="350"/>
      <c r="R95" s="350"/>
      <c r="S95" s="362"/>
      <c r="T95" s="350">
        <f t="shared" si="3"/>
        <v>0</v>
      </c>
      <c r="X95" s="306">
        <v>20</v>
      </c>
      <c r="AB95" s="306">
        <f t="shared" si="2"/>
        <v>0</v>
      </c>
    </row>
    <row r="96" spans="1:28" s="306" customFormat="1" hidden="1" x14ac:dyDescent="0.25">
      <c r="A96" s="349" t="s">
        <v>355</v>
      </c>
      <c r="B96" s="96"/>
      <c r="C96" s="96">
        <v>1080102100</v>
      </c>
      <c r="D96" s="303">
        <f>IFERROR(VLOOKUP($C96,'Restated FC1-Pre TB 2023'!$C$10:$H$271,6,FALSE),0)</f>
        <v>0</v>
      </c>
      <c r="E96" s="303">
        <f>IFERROR(VLOOKUP($C96,'Restated FC1-Pre TB 2023'!$C$10:$I$271,7,FALSE),0)</f>
        <v>0</v>
      </c>
      <c r="F96" s="362"/>
      <c r="G96" s="303"/>
      <c r="H96" s="350"/>
      <c r="I96" s="350"/>
      <c r="J96" s="350"/>
      <c r="K96" s="362"/>
      <c r="L96" s="362"/>
      <c r="M96" s="362"/>
      <c r="N96" s="362"/>
      <c r="O96" s="350"/>
      <c r="P96" s="350"/>
      <c r="Q96" s="350"/>
      <c r="R96" s="350"/>
      <c r="S96" s="362"/>
      <c r="T96" s="350">
        <f t="shared" si="3"/>
        <v>0</v>
      </c>
      <c r="X96" s="306">
        <v>60</v>
      </c>
      <c r="AB96" s="306">
        <f t="shared" si="2"/>
        <v>0</v>
      </c>
    </row>
    <row r="97" spans="1:28" s="306" customFormat="1" ht="31.5" x14ac:dyDescent="0.25">
      <c r="A97" s="349" t="s">
        <v>230</v>
      </c>
      <c r="B97" s="96"/>
      <c r="C97" s="96">
        <v>1069803000</v>
      </c>
      <c r="D97" s="303">
        <f>IFERROR(VLOOKUP($C97,'Restated FC1-Pre TB 2023'!$C$10:$H$271,6,FALSE),0)</f>
        <v>55364115.810000002</v>
      </c>
      <c r="E97" s="303">
        <f>IFERROR(VLOOKUP($C97,'Restated FC1-Pre TB 2023'!$C$10:$I$271,7,FALSE),0)</f>
        <v>0</v>
      </c>
      <c r="F97" s="362"/>
      <c r="G97" s="303"/>
      <c r="H97" s="350"/>
      <c r="I97" s="350"/>
      <c r="J97" s="350"/>
      <c r="K97" s="362"/>
      <c r="L97" s="362"/>
      <c r="M97" s="362"/>
      <c r="N97" s="362"/>
      <c r="O97" s="350"/>
      <c r="P97" s="350"/>
      <c r="Q97" s="350"/>
      <c r="R97" s="350"/>
      <c r="S97" s="362"/>
      <c r="T97" s="350">
        <f t="shared" si="3"/>
        <v>55364115.810000002</v>
      </c>
      <c r="AB97" s="306">
        <f t="shared" si="2"/>
        <v>55364115.810000002</v>
      </c>
    </row>
    <row r="98" spans="1:28" s="306" customFormat="1" x14ac:dyDescent="0.25">
      <c r="A98" s="349" t="s">
        <v>29</v>
      </c>
      <c r="B98" s="99"/>
      <c r="C98" s="96">
        <v>2010101000</v>
      </c>
      <c r="D98" s="303">
        <f>IFERROR(VLOOKUP($C98,'Restated FC1-Pre TB 2023'!$C$10:$H$271,6,FALSE),0)</f>
        <v>0</v>
      </c>
      <c r="E98" s="303">
        <f>IFERROR(VLOOKUP($C98,'Restated FC1-Pre TB 2023'!$C$10:$I$271,7,FALSE),0)</f>
        <v>386917749.44999999</v>
      </c>
      <c r="F98" s="362"/>
      <c r="G98" s="303"/>
      <c r="H98" s="350"/>
      <c r="I98" s="350"/>
      <c r="J98" s="350"/>
      <c r="K98" s="362"/>
      <c r="L98" s="362"/>
      <c r="M98" s="362"/>
      <c r="N98" s="362"/>
      <c r="O98" s="350"/>
      <c r="P98" s="350"/>
      <c r="Q98" s="350"/>
      <c r="R98" s="350"/>
      <c r="S98" s="362"/>
      <c r="T98" s="350">
        <f t="shared" si="3"/>
        <v>386917749.44999999</v>
      </c>
      <c r="X98" s="306">
        <v>30</v>
      </c>
      <c r="AB98" s="306">
        <f t="shared" si="2"/>
        <v>386917749.44999999</v>
      </c>
    </row>
    <row r="99" spans="1:28" s="306" customFormat="1" hidden="1" x14ac:dyDescent="0.25">
      <c r="A99" s="349" t="s">
        <v>222</v>
      </c>
      <c r="B99" s="99"/>
      <c r="C99" s="96">
        <v>2010107000</v>
      </c>
      <c r="D99" s="303">
        <f>IFERROR(VLOOKUP($C99,'Restated FC1-Pre TB 2023'!$C$10:$H$271,6,FALSE),0)</f>
        <v>0</v>
      </c>
      <c r="E99" s="303">
        <f>IFERROR(VLOOKUP($C99,'Restated FC1-Pre TB 2023'!$C$10:$I$271,7,FALSE),0)</f>
        <v>0</v>
      </c>
      <c r="F99" s="362"/>
      <c r="G99" s="303"/>
      <c r="H99" s="350"/>
      <c r="I99" s="350"/>
      <c r="J99" s="350"/>
      <c r="K99" s="362"/>
      <c r="L99" s="362"/>
      <c r="M99" s="362"/>
      <c r="N99" s="362"/>
      <c r="O99" s="350"/>
      <c r="P99" s="350"/>
      <c r="Q99" s="350"/>
      <c r="R99" s="350"/>
      <c r="S99" s="362"/>
      <c r="T99" s="350">
        <f t="shared" si="3"/>
        <v>0</v>
      </c>
      <c r="AB99" s="306">
        <f t="shared" si="2"/>
        <v>0</v>
      </c>
    </row>
    <row r="100" spans="1:28" s="306" customFormat="1" x14ac:dyDescent="0.25">
      <c r="A100" s="349" t="s">
        <v>508</v>
      </c>
      <c r="B100" s="99"/>
      <c r="C100" s="96">
        <v>2040104000</v>
      </c>
      <c r="D100" s="303">
        <f>IFERROR(VLOOKUP($C100,'Restated FC1-Pre TB 2023'!$C$10:$H$271,6,FALSE),0)</f>
        <v>0</v>
      </c>
      <c r="E100" s="303">
        <f>IFERROR(VLOOKUP($C100,'Restated FC1-Pre TB 2023'!$C$10:$I$271,7,FALSE),0)</f>
        <v>5410105.3399999999</v>
      </c>
      <c r="F100" s="362"/>
      <c r="G100" s="303"/>
      <c r="H100" s="350"/>
      <c r="I100" s="350"/>
      <c r="J100" s="350"/>
      <c r="K100" s="362"/>
      <c r="L100" s="362"/>
      <c r="M100" s="362"/>
      <c r="N100" s="362"/>
      <c r="O100" s="350"/>
      <c r="P100" s="350"/>
      <c r="Q100" s="350"/>
      <c r="R100" s="350"/>
      <c r="S100" s="362"/>
      <c r="T100" s="350">
        <f t="shared" si="3"/>
        <v>5410105.3399999999</v>
      </c>
      <c r="AB100" s="306">
        <f t="shared" si="2"/>
        <v>5410105.3399999999</v>
      </c>
    </row>
    <row r="101" spans="1:28" s="306" customFormat="1" x14ac:dyDescent="0.25">
      <c r="A101" s="349" t="s">
        <v>30</v>
      </c>
      <c r="B101" s="99"/>
      <c r="C101" s="99">
        <v>2020101000</v>
      </c>
      <c r="D101" s="303">
        <f>IFERROR(VLOOKUP($C101,'Restated FC1-Pre TB 2023'!$C$10:$H$271,6,FALSE),0)</f>
        <v>0</v>
      </c>
      <c r="E101" s="303">
        <f>IFERROR(VLOOKUP($C101,'Restated FC1-Pre TB 2023'!$C$10:$I$271,7,FALSE),0)</f>
        <v>274426.34000000003</v>
      </c>
      <c r="F101" s="362"/>
      <c r="G101" s="303"/>
      <c r="H101" s="350"/>
      <c r="I101" s="350"/>
      <c r="J101" s="350"/>
      <c r="K101" s="362"/>
      <c r="L101" s="362"/>
      <c r="M101" s="362"/>
      <c r="N101" s="362"/>
      <c r="O101" s="350"/>
      <c r="P101" s="350"/>
      <c r="Q101" s="350"/>
      <c r="R101" s="350"/>
      <c r="S101" s="362"/>
      <c r="T101" s="350">
        <f t="shared" si="3"/>
        <v>274426.34000000003</v>
      </c>
      <c r="AB101" s="306">
        <f t="shared" si="2"/>
        <v>274426.34000000003</v>
      </c>
    </row>
    <row r="102" spans="1:28" s="306" customFormat="1" hidden="1" x14ac:dyDescent="0.25">
      <c r="A102" s="349" t="s">
        <v>31</v>
      </c>
      <c r="B102" s="96"/>
      <c r="C102" s="96">
        <v>2020102000</v>
      </c>
      <c r="D102" s="303">
        <f>IFERROR(VLOOKUP($C102,'Restated FC1-Pre TB 2023'!$C$10:$H$271,6,FALSE),0)</f>
        <v>0</v>
      </c>
      <c r="E102" s="303">
        <f>IFERROR(VLOOKUP($C102,'Restated FC1-Pre TB 2023'!$C$10:$I$271,7,FALSE),0)</f>
        <v>0</v>
      </c>
      <c r="F102" s="362"/>
      <c r="G102" s="303"/>
      <c r="H102" s="350"/>
      <c r="I102" s="350"/>
      <c r="J102" s="350"/>
      <c r="K102" s="362"/>
      <c r="L102" s="362"/>
      <c r="M102" s="362"/>
      <c r="N102" s="362"/>
      <c r="O102" s="350"/>
      <c r="P102" s="350"/>
      <c r="Q102" s="350"/>
      <c r="R102" s="350"/>
      <c r="S102" s="362"/>
      <c r="T102" s="350">
        <f t="shared" si="3"/>
        <v>0</v>
      </c>
      <c r="AB102" s="306">
        <f t="shared" si="2"/>
        <v>0</v>
      </c>
    </row>
    <row r="103" spans="1:28" s="306" customFormat="1" x14ac:dyDescent="0.25">
      <c r="A103" s="349" t="s">
        <v>391</v>
      </c>
      <c r="B103" s="99"/>
      <c r="C103" s="96">
        <v>2020102001</v>
      </c>
      <c r="D103" s="303">
        <f>IFERROR(VLOOKUP($C103,'Restated FC1-Pre TB 2023'!$C$10:$H$271,6,FALSE),0)</f>
        <v>0</v>
      </c>
      <c r="E103" s="303">
        <f>IFERROR(VLOOKUP($C103,'Restated FC1-Pre TB 2023'!$C$10:$I$271,7,FALSE),0)</f>
        <v>230490.2</v>
      </c>
      <c r="F103" s="362"/>
      <c r="G103" s="303"/>
      <c r="H103" s="350"/>
      <c r="I103" s="350"/>
      <c r="J103" s="350"/>
      <c r="K103" s="362"/>
      <c r="L103" s="362"/>
      <c r="M103" s="362"/>
      <c r="N103" s="362"/>
      <c r="O103" s="350"/>
      <c r="P103" s="350"/>
      <c r="Q103" s="350"/>
      <c r="R103" s="350"/>
      <c r="S103" s="362"/>
      <c r="T103" s="350">
        <f t="shared" si="3"/>
        <v>230490.2</v>
      </c>
      <c r="AB103" s="306">
        <f t="shared" si="2"/>
        <v>230490.2</v>
      </c>
    </row>
    <row r="104" spans="1:28" s="306" customFormat="1" x14ac:dyDescent="0.25">
      <c r="A104" s="349" t="s">
        <v>392</v>
      </c>
      <c r="B104" s="99"/>
      <c r="C104" s="96">
        <v>2020102002</v>
      </c>
      <c r="D104" s="303">
        <f>IFERROR(VLOOKUP($C104,'Restated FC1-Pre TB 2023'!$C$10:$H$271,6,FALSE),0)</f>
        <v>0</v>
      </c>
      <c r="E104" s="303">
        <f>IFERROR(VLOOKUP($C104,'Restated FC1-Pre TB 2023'!$C$10:$I$271,7,FALSE),0)</f>
        <v>1749.11</v>
      </c>
      <c r="F104" s="362"/>
      <c r="G104" s="303"/>
      <c r="H104" s="350"/>
      <c r="I104" s="350"/>
      <c r="J104" s="350"/>
      <c r="K104" s="362"/>
      <c r="L104" s="362"/>
      <c r="M104" s="362"/>
      <c r="N104" s="362"/>
      <c r="O104" s="350"/>
      <c r="P104" s="350"/>
      <c r="Q104" s="350"/>
      <c r="R104" s="350"/>
      <c r="S104" s="362"/>
      <c r="T104" s="350">
        <f t="shared" si="3"/>
        <v>1749.11</v>
      </c>
      <c r="AB104" s="306">
        <f t="shared" si="2"/>
        <v>1749.11</v>
      </c>
    </row>
    <row r="105" spans="1:28" s="306" customFormat="1" x14ac:dyDescent="0.25">
      <c r="A105" s="349" t="s">
        <v>393</v>
      </c>
      <c r="B105" s="99"/>
      <c r="C105" s="96">
        <v>2020102003</v>
      </c>
      <c r="D105" s="303">
        <f>IFERROR(VLOOKUP($C105,'Restated FC1-Pre TB 2023'!$C$10:$H$271,6,FALSE),0)</f>
        <v>0</v>
      </c>
      <c r="E105" s="303">
        <f>IFERROR(VLOOKUP($C105,'Restated FC1-Pre TB 2023'!$C$10:$I$271,7,FALSE),0)</f>
        <v>505843.57</v>
      </c>
      <c r="F105" s="362"/>
      <c r="G105" s="303"/>
      <c r="H105" s="350"/>
      <c r="I105" s="350"/>
      <c r="J105" s="350"/>
      <c r="K105" s="362"/>
      <c r="L105" s="362"/>
      <c r="M105" s="362"/>
      <c r="N105" s="362"/>
      <c r="O105" s="350"/>
      <c r="P105" s="350"/>
      <c r="Q105" s="350"/>
      <c r="R105" s="350"/>
      <c r="S105" s="362"/>
      <c r="T105" s="350">
        <f t="shared" si="3"/>
        <v>505843.57</v>
      </c>
      <c r="AB105" s="306">
        <f t="shared" si="2"/>
        <v>505843.57</v>
      </c>
    </row>
    <row r="106" spans="1:28" s="306" customFormat="1" x14ac:dyDescent="0.25">
      <c r="A106" s="349" t="s">
        <v>394</v>
      </c>
      <c r="B106" s="96"/>
      <c r="C106" s="96">
        <v>2020102004</v>
      </c>
      <c r="D106" s="303">
        <f>IFERROR(VLOOKUP($C106,'Restated FC1-Pre TB 2023'!$C$10:$H$271,6,FALSE),0)</f>
        <v>0</v>
      </c>
      <c r="E106" s="303">
        <f>IFERROR(VLOOKUP($C106,'Restated FC1-Pre TB 2023'!$C$10:$I$271,7,FALSE),0)</f>
        <v>79976.34</v>
      </c>
      <c r="F106" s="362"/>
      <c r="G106" s="303"/>
      <c r="H106" s="350"/>
      <c r="I106" s="350"/>
      <c r="J106" s="350"/>
      <c r="K106" s="362"/>
      <c r="L106" s="362"/>
      <c r="M106" s="362"/>
      <c r="N106" s="362"/>
      <c r="O106" s="350"/>
      <c r="P106" s="350"/>
      <c r="Q106" s="350"/>
      <c r="R106" s="350"/>
      <c r="S106" s="362"/>
      <c r="T106" s="350">
        <f t="shared" si="3"/>
        <v>79976.34</v>
      </c>
      <c r="AB106" s="306">
        <f t="shared" si="2"/>
        <v>79976.34</v>
      </c>
    </row>
    <row r="107" spans="1:28" s="306" customFormat="1" hidden="1" x14ac:dyDescent="0.25">
      <c r="A107" s="349" t="s">
        <v>32</v>
      </c>
      <c r="B107" s="96"/>
      <c r="C107" s="96">
        <v>2020103000</v>
      </c>
      <c r="D107" s="303">
        <f>IFERROR(VLOOKUP($C107,'Restated FC1-Pre TB 2023'!$C$10:$H$271,6,FALSE),0)</f>
        <v>0</v>
      </c>
      <c r="E107" s="303">
        <f>IFERROR(VLOOKUP($C107,'Restated FC1-Pre TB 2023'!$C$10:$I$271,7,FALSE),0)</f>
        <v>0</v>
      </c>
      <c r="F107" s="362"/>
      <c r="G107" s="303"/>
      <c r="H107" s="350"/>
      <c r="I107" s="350"/>
      <c r="J107" s="350"/>
      <c r="K107" s="362"/>
      <c r="L107" s="362"/>
      <c r="M107" s="362"/>
      <c r="N107" s="362"/>
      <c r="O107" s="350"/>
      <c r="P107" s="350"/>
      <c r="Q107" s="350"/>
      <c r="R107" s="350"/>
      <c r="S107" s="362"/>
      <c r="T107" s="350">
        <f t="shared" si="3"/>
        <v>0</v>
      </c>
      <c r="X107" s="306">
        <f>SUM(X94:X103)</f>
        <v>190</v>
      </c>
      <c r="AB107" s="306">
        <f t="shared" si="2"/>
        <v>0</v>
      </c>
    </row>
    <row r="108" spans="1:28" s="306" customFormat="1" x14ac:dyDescent="0.25">
      <c r="A108" s="349" t="s">
        <v>395</v>
      </c>
      <c r="B108" s="96"/>
      <c r="C108" s="96">
        <v>2020103001</v>
      </c>
      <c r="D108" s="303">
        <f>IFERROR(VLOOKUP($C108,'Restated FC1-Pre TB 2023'!$C$10:$H$271,6,FALSE),0)</f>
        <v>0</v>
      </c>
      <c r="E108" s="303">
        <f>IFERROR(VLOOKUP($C108,'Restated FC1-Pre TB 2023'!$C$10:$I$271,7,FALSE),0)</f>
        <v>429462.1</v>
      </c>
      <c r="F108" s="362"/>
      <c r="G108" s="303"/>
      <c r="H108" s="350"/>
      <c r="I108" s="350"/>
      <c r="J108" s="350"/>
      <c r="K108" s="362"/>
      <c r="L108" s="362"/>
      <c r="M108" s="362"/>
      <c r="N108" s="362"/>
      <c r="O108" s="350"/>
      <c r="P108" s="350"/>
      <c r="Q108" s="350"/>
      <c r="R108" s="350"/>
      <c r="S108" s="362"/>
      <c r="T108" s="350">
        <f t="shared" si="3"/>
        <v>429462.1</v>
      </c>
      <c r="AB108" s="306">
        <f t="shared" si="2"/>
        <v>429462.1</v>
      </c>
    </row>
    <row r="109" spans="1:28" s="306" customFormat="1" x14ac:dyDescent="0.25">
      <c r="A109" s="349" t="s">
        <v>396</v>
      </c>
      <c r="B109" s="96"/>
      <c r="C109" s="96">
        <v>2020103002</v>
      </c>
      <c r="D109" s="303">
        <f>IFERROR(VLOOKUP($C109,'Restated FC1-Pre TB 2023'!$C$10:$H$271,6,FALSE),0)</f>
        <v>0</v>
      </c>
      <c r="E109" s="303">
        <f>IFERROR(VLOOKUP($C109,'Restated FC1-Pre TB 2023'!$C$10:$I$271,7,FALSE),0)</f>
        <v>801868.97</v>
      </c>
      <c r="F109" s="362"/>
      <c r="G109" s="303"/>
      <c r="H109" s="350"/>
      <c r="I109" s="350"/>
      <c r="J109" s="350"/>
      <c r="K109" s="362"/>
      <c r="L109" s="362"/>
      <c r="M109" s="362"/>
      <c r="N109" s="362"/>
      <c r="O109" s="350"/>
      <c r="P109" s="350"/>
      <c r="Q109" s="350"/>
      <c r="R109" s="350"/>
      <c r="S109" s="362"/>
      <c r="T109" s="350">
        <f t="shared" si="3"/>
        <v>801868.97</v>
      </c>
      <c r="AB109" s="306">
        <f t="shared" si="2"/>
        <v>801868.97</v>
      </c>
    </row>
    <row r="110" spans="1:28" s="306" customFormat="1" x14ac:dyDescent="0.25">
      <c r="A110" s="349" t="s">
        <v>397</v>
      </c>
      <c r="B110" s="96"/>
      <c r="C110" s="96">
        <v>2020103003</v>
      </c>
      <c r="D110" s="303">
        <f>IFERROR(VLOOKUP($C110,'Restated FC1-Pre TB 2023'!$C$10:$H$271,6,FALSE),0)</f>
        <v>0</v>
      </c>
      <c r="E110" s="303">
        <f>IFERROR(VLOOKUP($C110,'Restated FC1-Pre TB 2023'!$C$10:$I$271,7,FALSE),0)</f>
        <v>30210.799999999999</v>
      </c>
      <c r="F110" s="362"/>
      <c r="G110" s="303"/>
      <c r="H110" s="350"/>
      <c r="I110" s="350"/>
      <c r="J110" s="350"/>
      <c r="K110" s="362"/>
      <c r="L110" s="362"/>
      <c r="M110" s="362"/>
      <c r="N110" s="362"/>
      <c r="O110" s="350"/>
      <c r="P110" s="350"/>
      <c r="Q110" s="350"/>
      <c r="R110" s="350"/>
      <c r="S110" s="362"/>
      <c r="T110" s="350">
        <f t="shared" si="3"/>
        <v>30210.799999999999</v>
      </c>
      <c r="AB110" s="306">
        <f t="shared" si="2"/>
        <v>30210.799999999999</v>
      </c>
    </row>
    <row r="111" spans="1:28" s="306" customFormat="1" x14ac:dyDescent="0.25">
      <c r="A111" s="349" t="s">
        <v>33</v>
      </c>
      <c r="B111" s="96"/>
      <c r="C111" s="96">
        <v>2020104000</v>
      </c>
      <c r="D111" s="303">
        <f>IFERROR(VLOOKUP($C111,'Restated FC1-Pre TB 2023'!$C$10:$H$271,6,FALSE),0)</f>
        <v>0</v>
      </c>
      <c r="E111" s="303">
        <f>IFERROR(VLOOKUP($C111,'Restated FC1-Pre TB 2023'!$C$10:$I$271,7,FALSE),0)</f>
        <v>2737841.9</v>
      </c>
      <c r="F111" s="362"/>
      <c r="G111" s="303"/>
      <c r="H111" s="350"/>
      <c r="I111" s="350"/>
      <c r="J111" s="350"/>
      <c r="K111" s="362"/>
      <c r="L111" s="362"/>
      <c r="M111" s="362"/>
      <c r="N111" s="362"/>
      <c r="O111" s="350"/>
      <c r="P111" s="350"/>
      <c r="Q111" s="350"/>
      <c r="R111" s="350"/>
      <c r="S111" s="362"/>
      <c r="T111" s="350">
        <f t="shared" si="3"/>
        <v>2737841.9</v>
      </c>
      <c r="AB111" s="306">
        <f t="shared" si="2"/>
        <v>2737841.9</v>
      </c>
    </row>
    <row r="112" spans="1:28" s="306" customFormat="1" x14ac:dyDescent="0.25">
      <c r="A112" s="349" t="s">
        <v>492</v>
      </c>
      <c r="B112" s="96"/>
      <c r="C112" s="96">
        <v>2020105000</v>
      </c>
      <c r="D112" s="303">
        <f>IFERROR(VLOOKUP($C112,'Restated FC1-Pre TB 2023'!$C$10:$H$271,6,FALSE),0)</f>
        <v>0</v>
      </c>
      <c r="E112" s="303">
        <f>IFERROR(VLOOKUP($C112,'Restated FC1-Pre TB 2023'!$C$10:$I$271,7,FALSE),0)</f>
        <v>210000</v>
      </c>
      <c r="F112" s="362"/>
      <c r="G112" s="303"/>
      <c r="H112" s="350"/>
      <c r="I112" s="350"/>
      <c r="J112" s="350"/>
      <c r="K112" s="362"/>
      <c r="L112" s="362"/>
      <c r="M112" s="362"/>
      <c r="N112" s="362"/>
      <c r="O112" s="350"/>
      <c r="P112" s="350"/>
      <c r="Q112" s="350"/>
      <c r="R112" s="350"/>
      <c r="S112" s="362"/>
      <c r="T112" s="350">
        <f t="shared" si="3"/>
        <v>210000</v>
      </c>
      <c r="AB112" s="306">
        <f t="shared" si="2"/>
        <v>210000</v>
      </c>
    </row>
    <row r="113" spans="1:31" s="306" customFormat="1" x14ac:dyDescent="0.25">
      <c r="A113" s="349" t="s">
        <v>493</v>
      </c>
      <c r="B113" s="96"/>
      <c r="C113" s="96">
        <v>2020106000</v>
      </c>
      <c r="D113" s="303">
        <f>IFERROR(VLOOKUP($C113,'Restated FC1-Pre TB 2023'!$C$10:$H$271,6,FALSE),0)</f>
        <v>0</v>
      </c>
      <c r="E113" s="303">
        <f>IFERROR(VLOOKUP($C113,'Restated FC1-Pre TB 2023'!$C$10:$I$271,7,FALSE),0)</f>
        <v>2550882.08</v>
      </c>
      <c r="F113" s="362"/>
      <c r="G113" s="303"/>
      <c r="H113" s="350"/>
      <c r="I113" s="350"/>
      <c r="J113" s="350"/>
      <c r="K113" s="362"/>
      <c r="L113" s="362"/>
      <c r="M113" s="362"/>
      <c r="N113" s="362"/>
      <c r="O113" s="350"/>
      <c r="P113" s="350"/>
      <c r="Q113" s="350"/>
      <c r="R113" s="350"/>
      <c r="S113" s="362"/>
      <c r="T113" s="350">
        <f t="shared" si="3"/>
        <v>2550882.08</v>
      </c>
      <c r="AB113" s="306">
        <f t="shared" si="2"/>
        <v>2550882.08</v>
      </c>
    </row>
    <row r="114" spans="1:31" s="306" customFormat="1" x14ac:dyDescent="0.25">
      <c r="A114" s="349" t="s">
        <v>494</v>
      </c>
      <c r="B114" s="96"/>
      <c r="C114" s="96">
        <v>2020107000</v>
      </c>
      <c r="D114" s="303">
        <f>IFERROR(VLOOKUP($C114,'Restated FC1-Pre TB 2023'!$C$10:$H$271,6,FALSE),0)</f>
        <v>0</v>
      </c>
      <c r="E114" s="303">
        <f>IFERROR(VLOOKUP($C114,'Restated FC1-Pre TB 2023'!$C$10:$I$271,7,FALSE),0)</f>
        <v>10045601.93</v>
      </c>
      <c r="F114" s="362"/>
      <c r="G114" s="303"/>
      <c r="H114" s="350"/>
      <c r="I114" s="350"/>
      <c r="J114" s="350"/>
      <c r="K114" s="362"/>
      <c r="L114" s="362"/>
      <c r="M114" s="362"/>
      <c r="N114" s="362"/>
      <c r="O114" s="350"/>
      <c r="P114" s="350"/>
      <c r="Q114" s="350"/>
      <c r="R114" s="350"/>
      <c r="S114" s="362"/>
      <c r="T114" s="350">
        <f t="shared" si="3"/>
        <v>10045601.93</v>
      </c>
      <c r="AB114" s="306">
        <f t="shared" si="2"/>
        <v>10045601.93</v>
      </c>
    </row>
    <row r="115" spans="1:31" s="306" customFormat="1" hidden="1" x14ac:dyDescent="0.25">
      <c r="A115" s="349" t="s">
        <v>35</v>
      </c>
      <c r="B115" s="96"/>
      <c r="C115" s="96">
        <v>2030101000</v>
      </c>
      <c r="D115" s="303">
        <f>IFERROR(VLOOKUP($C115,'Restated FC1-Pre TB 2023'!$C$10:$H$271,6,FALSE),0)</f>
        <v>0</v>
      </c>
      <c r="E115" s="303">
        <f>IFERROR(VLOOKUP($C115,'Restated FC1-Pre TB 2023'!$C$10:$I$271,7,FALSE),0)</f>
        <v>0</v>
      </c>
      <c r="F115" s="362"/>
      <c r="G115" s="303"/>
      <c r="H115" s="350"/>
      <c r="I115" s="350"/>
      <c r="J115" s="350"/>
      <c r="K115" s="362"/>
      <c r="L115" s="362"/>
      <c r="M115" s="362"/>
      <c r="N115" s="362"/>
      <c r="O115" s="350"/>
      <c r="P115" s="350"/>
      <c r="Q115" s="350"/>
      <c r="R115" s="350"/>
      <c r="S115" s="362"/>
      <c r="T115" s="350">
        <f t="shared" si="3"/>
        <v>0</v>
      </c>
      <c r="AB115" s="306">
        <f t="shared" si="2"/>
        <v>0</v>
      </c>
    </row>
    <row r="116" spans="1:31" s="306" customFormat="1" hidden="1" x14ac:dyDescent="0.25">
      <c r="A116" s="349" t="s">
        <v>221</v>
      </c>
      <c r="B116" s="96"/>
      <c r="C116" s="96">
        <v>2030103000</v>
      </c>
      <c r="D116" s="303">
        <f>IFERROR(VLOOKUP($C116,'Restated FC1-Pre TB 2023'!$C$10:$H$271,6,FALSE),0)</f>
        <v>0</v>
      </c>
      <c r="E116" s="303">
        <f>IFERROR(VLOOKUP($C116,'Restated FC1-Pre TB 2023'!$C$10:$I$271,7,FALSE),0)</f>
        <v>0</v>
      </c>
      <c r="F116" s="362"/>
      <c r="G116" s="303"/>
      <c r="H116" s="350"/>
      <c r="I116" s="350"/>
      <c r="J116" s="350"/>
      <c r="K116" s="362"/>
      <c r="L116" s="362"/>
      <c r="M116" s="362"/>
      <c r="N116" s="362"/>
      <c r="O116" s="350"/>
      <c r="P116" s="350"/>
      <c r="Q116" s="350"/>
      <c r="R116" s="350"/>
      <c r="S116" s="362"/>
      <c r="T116" s="350">
        <f t="shared" si="3"/>
        <v>0</v>
      </c>
      <c r="AB116" s="306">
        <f t="shared" si="2"/>
        <v>0</v>
      </c>
    </row>
    <row r="117" spans="1:31" s="306" customFormat="1" hidden="1" x14ac:dyDescent="0.25">
      <c r="A117" s="349" t="s">
        <v>353</v>
      </c>
      <c r="B117" s="96"/>
      <c r="C117" s="96">
        <v>2030105000</v>
      </c>
      <c r="D117" s="303">
        <f>IFERROR(VLOOKUP($C117,'Restated FC1-Pre TB 2023'!$C$10:$H$271,6,FALSE),0)</f>
        <v>0</v>
      </c>
      <c r="E117" s="303">
        <f>IFERROR(VLOOKUP($C117,'Restated FC1-Pre TB 2023'!$C$10:$I$271,7,FALSE),0)</f>
        <v>0</v>
      </c>
      <c r="F117" s="362"/>
      <c r="G117" s="303"/>
      <c r="H117" s="350"/>
      <c r="I117" s="350"/>
      <c r="J117" s="350"/>
      <c r="K117" s="362"/>
      <c r="L117" s="362"/>
      <c r="M117" s="362"/>
      <c r="N117" s="362"/>
      <c r="O117" s="350"/>
      <c r="P117" s="350"/>
      <c r="Q117" s="350"/>
      <c r="R117" s="350"/>
      <c r="S117" s="362"/>
      <c r="T117" s="350">
        <f t="shared" si="3"/>
        <v>0</v>
      </c>
      <c r="AB117" s="306">
        <f t="shared" si="2"/>
        <v>0</v>
      </c>
    </row>
    <row r="118" spans="1:31" s="391" customFormat="1" ht="32.25" hidden="1" thickBot="1" x14ac:dyDescent="0.3">
      <c r="A118" s="349" t="s">
        <v>219</v>
      </c>
      <c r="B118" s="96"/>
      <c r="C118" s="96">
        <v>2040102000</v>
      </c>
      <c r="D118" s="303">
        <f>IFERROR(VLOOKUP($C118,'Restated FC1-Pre TB 2023'!$C$10:$H$271,6,FALSE),0)</f>
        <v>0</v>
      </c>
      <c r="E118" s="303">
        <f>IFERROR(VLOOKUP($C118,'Restated FC1-Pre TB 2023'!$C$10:$I$271,7,FALSE),0)</f>
        <v>0</v>
      </c>
      <c r="F118" s="388"/>
      <c r="G118" s="305"/>
      <c r="H118" s="389"/>
      <c r="I118" s="389"/>
      <c r="J118" s="389"/>
      <c r="K118" s="388"/>
      <c r="L118" s="388"/>
      <c r="M118" s="388"/>
      <c r="N118" s="388"/>
      <c r="O118" s="389"/>
      <c r="P118" s="389"/>
      <c r="Q118" s="389"/>
      <c r="R118" s="389"/>
      <c r="S118" s="388"/>
      <c r="T118" s="350">
        <f t="shared" si="3"/>
        <v>0</v>
      </c>
      <c r="U118" s="390"/>
      <c r="V118" s="390"/>
      <c r="W118" s="390"/>
      <c r="X118" s="390"/>
      <c r="Y118" s="390"/>
      <c r="AB118" s="306">
        <f t="shared" si="2"/>
        <v>0</v>
      </c>
      <c r="AE118" s="306"/>
    </row>
    <row r="119" spans="1:31" x14ac:dyDescent="0.25">
      <c r="A119" s="392" t="s">
        <v>37</v>
      </c>
      <c r="B119" s="142"/>
      <c r="C119" s="142">
        <v>2999999000</v>
      </c>
      <c r="D119" s="303">
        <f>IFERROR(VLOOKUP($C119,'Restated FC1-Pre TB 2023'!$C$10:$H$271,6,FALSE),0)</f>
        <v>0</v>
      </c>
      <c r="E119" s="303">
        <f>IFERROR(VLOOKUP($C119,'Restated FC1-Pre TB 2023'!$C$10:$I$271,7,FALSE),0)</f>
        <v>7335320.1699999999</v>
      </c>
      <c r="F119" s="302"/>
      <c r="T119" s="350">
        <f t="shared" si="3"/>
        <v>7335320.1699999999</v>
      </c>
      <c r="AB119" s="306">
        <f t="shared" si="2"/>
        <v>7335320.1699999999</v>
      </c>
    </row>
    <row r="120" spans="1:31" x14ac:dyDescent="0.25">
      <c r="A120" s="349" t="s">
        <v>243</v>
      </c>
      <c r="B120" s="96"/>
      <c r="C120" s="96">
        <v>3010101000</v>
      </c>
      <c r="D120" s="303">
        <f>IFERROR(VLOOKUP($C120,'Restated FC1-Pre TB 2023'!$C$10:$H$271,6,FALSE),0)</f>
        <v>0</v>
      </c>
      <c r="E120" s="303">
        <f>'Restated FC1-Pre TB 2023'!I120+SUM('Restated FC1-Pre TB 2023'!I121:I271)-SUM('Restated FC1-Pre TB 2023'!H121:H271)-105347840.52-342664.82+1261168.24</f>
        <v>114843771.00083104</v>
      </c>
      <c r="F120" s="302"/>
      <c r="T120" s="350">
        <f t="shared" si="3"/>
        <v>114843771.00083104</v>
      </c>
      <c r="AB120" s="306">
        <f t="shared" si="2"/>
        <v>114843771.00083104</v>
      </c>
      <c r="AE120" s="306">
        <f>E120-[24]TB!$AC$122</f>
        <v>-1265511228.5001817</v>
      </c>
    </row>
    <row r="121" spans="1:31" hidden="1" x14ac:dyDescent="0.25">
      <c r="A121" s="349" t="s">
        <v>111</v>
      </c>
      <c r="B121" s="96"/>
      <c r="C121" s="96">
        <v>4020106000</v>
      </c>
      <c r="D121" s="303"/>
      <c r="E121" s="303"/>
      <c r="F121" s="302"/>
      <c r="T121" s="350">
        <f t="shared" si="3"/>
        <v>0</v>
      </c>
      <c r="AB121" s="306">
        <f t="shared" si="2"/>
        <v>0</v>
      </c>
    </row>
    <row r="122" spans="1:31" hidden="1" x14ac:dyDescent="0.25">
      <c r="A122" s="349" t="s">
        <v>112</v>
      </c>
      <c r="B122" s="96"/>
      <c r="C122" s="96">
        <v>4020101099</v>
      </c>
      <c r="D122" s="303"/>
      <c r="E122" s="303"/>
      <c r="G122" s="305"/>
      <c r="H122" s="362"/>
      <c r="I122" s="350"/>
      <c r="J122" s="350"/>
      <c r="K122" s="362"/>
      <c r="L122" s="362"/>
      <c r="M122" s="362"/>
      <c r="N122" s="362"/>
      <c r="O122" s="350"/>
      <c r="P122" s="350"/>
      <c r="Q122" s="350"/>
      <c r="R122" s="350"/>
      <c r="S122" s="362"/>
      <c r="T122" s="350">
        <f t="shared" si="3"/>
        <v>0</v>
      </c>
      <c r="AB122" s="306">
        <f t="shared" si="2"/>
        <v>0</v>
      </c>
    </row>
    <row r="123" spans="1:31" hidden="1" x14ac:dyDescent="0.25">
      <c r="A123" s="349" t="s">
        <v>113</v>
      </c>
      <c r="B123" s="96"/>
      <c r="C123" s="96">
        <v>4020102000</v>
      </c>
      <c r="D123" s="303"/>
      <c r="E123" s="303"/>
      <c r="F123" s="302"/>
      <c r="H123" s="393"/>
      <c r="K123" s="393"/>
      <c r="L123" s="393"/>
      <c r="M123" s="393"/>
      <c r="N123" s="393"/>
      <c r="S123" s="393"/>
      <c r="T123" s="350">
        <f t="shared" si="3"/>
        <v>0</v>
      </c>
      <c r="AB123" s="306">
        <f t="shared" si="2"/>
        <v>0</v>
      </c>
    </row>
    <row r="124" spans="1:31" hidden="1" x14ac:dyDescent="0.25">
      <c r="A124" s="349" t="s">
        <v>203</v>
      </c>
      <c r="B124" s="96"/>
      <c r="C124" s="96">
        <v>4020104001</v>
      </c>
      <c r="D124" s="303"/>
      <c r="E124" s="303"/>
      <c r="F124" s="393"/>
      <c r="G124" s="393"/>
      <c r="H124" s="393"/>
      <c r="K124" s="393"/>
      <c r="L124" s="393"/>
      <c r="M124" s="393"/>
      <c r="N124" s="393"/>
      <c r="S124" s="393"/>
      <c r="T124" s="350">
        <f t="shared" si="3"/>
        <v>0</v>
      </c>
      <c r="AB124" s="306">
        <f t="shared" si="2"/>
        <v>0</v>
      </c>
    </row>
    <row r="125" spans="1:31" hidden="1" x14ac:dyDescent="0.25">
      <c r="A125" s="349" t="s">
        <v>218</v>
      </c>
      <c r="B125" s="96"/>
      <c r="C125" s="96">
        <v>4030101000</v>
      </c>
      <c r="D125" s="303"/>
      <c r="E125" s="303"/>
      <c r="F125" s="302"/>
      <c r="T125" s="350">
        <f t="shared" si="3"/>
        <v>0</v>
      </c>
      <c r="AB125" s="306">
        <f t="shared" si="2"/>
        <v>0</v>
      </c>
    </row>
    <row r="126" spans="1:31" s="394" customFormat="1" hidden="1" x14ac:dyDescent="0.25">
      <c r="A126" s="349" t="s">
        <v>451</v>
      </c>
      <c r="B126" s="96"/>
      <c r="C126" s="96">
        <v>4030102000</v>
      </c>
      <c r="D126" s="303"/>
      <c r="E126" s="303"/>
      <c r="F126" s="302"/>
      <c r="G126" s="302"/>
      <c r="H126" s="302"/>
      <c r="I126" s="306"/>
      <c r="J126" s="306"/>
      <c r="K126" s="302"/>
      <c r="L126" s="302"/>
      <c r="M126" s="302"/>
      <c r="N126" s="302"/>
      <c r="O126" s="306"/>
      <c r="P126" s="306"/>
      <c r="Q126" s="306"/>
      <c r="R126" s="306"/>
      <c r="S126" s="302"/>
      <c r="T126" s="350">
        <f t="shared" si="3"/>
        <v>0</v>
      </c>
      <c r="U126" s="306"/>
      <c r="V126" s="370"/>
      <c r="W126" s="370"/>
      <c r="X126" s="370"/>
      <c r="Y126" s="370"/>
      <c r="AB126" s="306">
        <f t="shared" si="2"/>
        <v>0</v>
      </c>
      <c r="AE126" s="370"/>
    </row>
    <row r="127" spans="1:31" s="393" customFormat="1" hidden="1" x14ac:dyDescent="0.25">
      <c r="A127" s="349" t="s">
        <v>358</v>
      </c>
      <c r="B127" s="96"/>
      <c r="C127" s="96">
        <v>4030106000</v>
      </c>
      <c r="D127" s="303"/>
      <c r="E127" s="303"/>
      <c r="F127" s="302"/>
      <c r="G127" s="302"/>
      <c r="H127" s="302"/>
      <c r="I127" s="306"/>
      <c r="J127" s="306"/>
      <c r="K127" s="302"/>
      <c r="L127" s="302"/>
      <c r="M127" s="302"/>
      <c r="N127" s="302"/>
      <c r="O127" s="306"/>
      <c r="P127" s="306"/>
      <c r="Q127" s="306"/>
      <c r="R127" s="306"/>
      <c r="S127" s="302"/>
      <c r="T127" s="350">
        <f t="shared" si="3"/>
        <v>0</v>
      </c>
      <c r="U127" s="306"/>
      <c r="V127" s="306"/>
      <c r="W127" s="306"/>
      <c r="X127" s="306"/>
      <c r="Y127" s="306"/>
      <c r="AB127" s="306">
        <f t="shared" si="2"/>
        <v>0</v>
      </c>
      <c r="AE127" s="306"/>
    </row>
    <row r="128" spans="1:31" s="393" customFormat="1" hidden="1" x14ac:dyDescent="0.25">
      <c r="A128" s="349" t="s">
        <v>444</v>
      </c>
      <c r="B128" s="96"/>
      <c r="C128" s="96">
        <v>4030107000</v>
      </c>
      <c r="D128" s="303"/>
      <c r="E128" s="303"/>
      <c r="F128" s="302"/>
      <c r="G128" s="306" t="e">
        <f>SUM(#REF!)</f>
        <v>#REF!</v>
      </c>
      <c r="H128" s="302"/>
      <c r="I128" s="306"/>
      <c r="J128" s="306"/>
      <c r="K128" s="302"/>
      <c r="L128" s="302"/>
      <c r="M128" s="302"/>
      <c r="N128" s="302"/>
      <c r="O128" s="306"/>
      <c r="P128" s="306"/>
      <c r="Q128" s="306"/>
      <c r="R128" s="306"/>
      <c r="S128" s="302"/>
      <c r="T128" s="350">
        <f t="shared" si="3"/>
        <v>0</v>
      </c>
      <c r="U128" s="306"/>
      <c r="V128" s="306"/>
      <c r="W128" s="306"/>
      <c r="X128" s="306"/>
      <c r="Y128" s="306"/>
      <c r="AB128" s="306">
        <f t="shared" si="2"/>
        <v>0</v>
      </c>
      <c r="AE128" s="306"/>
    </row>
    <row r="129" spans="1:28" hidden="1" x14ac:dyDescent="0.25">
      <c r="A129" s="349" t="s">
        <v>114</v>
      </c>
      <c r="B129" s="96"/>
      <c r="C129" s="96">
        <v>4040201000</v>
      </c>
      <c r="D129" s="303"/>
      <c r="E129" s="303"/>
      <c r="F129" s="302"/>
      <c r="G129" s="306" t="e">
        <f>SUM(#REF!)</f>
        <v>#REF!</v>
      </c>
      <c r="T129" s="350">
        <f t="shared" si="3"/>
        <v>0</v>
      </c>
      <c r="AB129" s="306">
        <f t="shared" si="2"/>
        <v>0</v>
      </c>
    </row>
    <row r="130" spans="1:28" hidden="1" x14ac:dyDescent="0.25">
      <c r="A130" s="349" t="s">
        <v>115</v>
      </c>
      <c r="B130" s="96"/>
      <c r="C130" s="96">
        <v>4040202000</v>
      </c>
      <c r="D130" s="303"/>
      <c r="E130" s="303"/>
      <c r="F130" s="302"/>
      <c r="G130" s="306" t="e">
        <f>G128-G129</f>
        <v>#REF!</v>
      </c>
      <c r="I130" s="306">
        <f>E122</f>
        <v>0</v>
      </c>
      <c r="J130" s="306" t="e">
        <f>G130+I130</f>
        <v>#REF!</v>
      </c>
      <c r="T130" s="350">
        <f t="shared" si="3"/>
        <v>0</v>
      </c>
      <c r="AB130" s="306">
        <f t="shared" si="2"/>
        <v>0</v>
      </c>
    </row>
    <row r="131" spans="1:28" hidden="1" x14ac:dyDescent="0.25">
      <c r="A131" s="349" t="s">
        <v>116</v>
      </c>
      <c r="B131" s="96"/>
      <c r="C131" s="96">
        <v>4020114000</v>
      </c>
      <c r="D131" s="303"/>
      <c r="E131" s="303"/>
      <c r="F131" s="391"/>
      <c r="G131" s="391"/>
      <c r="H131" s="394"/>
      <c r="I131" s="370"/>
      <c r="J131" s="370"/>
      <c r="K131" s="394"/>
      <c r="L131" s="394"/>
      <c r="M131" s="394"/>
      <c r="N131" s="394"/>
      <c r="O131" s="370"/>
      <c r="P131" s="370"/>
      <c r="Q131" s="370"/>
      <c r="R131" s="370"/>
      <c r="S131" s="394"/>
      <c r="T131" s="350">
        <f t="shared" si="3"/>
        <v>0</v>
      </c>
      <c r="U131" s="370"/>
      <c r="AB131" s="306">
        <f t="shared" si="2"/>
        <v>0</v>
      </c>
    </row>
    <row r="132" spans="1:28" hidden="1" x14ac:dyDescent="0.25">
      <c r="A132" s="349" t="s">
        <v>117</v>
      </c>
      <c r="B132" s="96"/>
      <c r="C132" s="96">
        <v>4020202000</v>
      </c>
      <c r="D132" s="303"/>
      <c r="E132" s="303"/>
      <c r="F132" s="302"/>
      <c r="T132" s="350">
        <f t="shared" si="3"/>
        <v>0</v>
      </c>
      <c r="AB132" s="306">
        <f t="shared" si="2"/>
        <v>0</v>
      </c>
    </row>
    <row r="133" spans="1:28" hidden="1" x14ac:dyDescent="0.25">
      <c r="A133" s="349" t="s">
        <v>118</v>
      </c>
      <c r="B133" s="96"/>
      <c r="C133" s="96">
        <v>4020205000</v>
      </c>
      <c r="D133" s="303"/>
      <c r="E133" s="303"/>
      <c r="F133" s="302"/>
      <c r="T133" s="350">
        <f t="shared" si="3"/>
        <v>0</v>
      </c>
      <c r="AB133" s="306">
        <f t="shared" si="2"/>
        <v>0</v>
      </c>
    </row>
    <row r="134" spans="1:28" ht="31.5" hidden="1" x14ac:dyDescent="0.25">
      <c r="A134" s="349" t="s">
        <v>119</v>
      </c>
      <c r="B134" s="96"/>
      <c r="C134" s="96">
        <v>4020213000</v>
      </c>
      <c r="D134" s="303"/>
      <c r="E134" s="303"/>
      <c r="F134" s="302"/>
      <c r="T134" s="350">
        <f t="shared" si="3"/>
        <v>0</v>
      </c>
      <c r="AB134" s="306">
        <f t="shared" si="2"/>
        <v>0</v>
      </c>
    </row>
    <row r="135" spans="1:28" hidden="1" x14ac:dyDescent="0.25">
      <c r="A135" s="349" t="s">
        <v>120</v>
      </c>
      <c r="B135" s="96"/>
      <c r="C135" s="96">
        <v>4020221099</v>
      </c>
      <c r="D135" s="303"/>
      <c r="E135" s="303"/>
      <c r="F135" s="302"/>
      <c r="T135" s="350">
        <f t="shared" si="3"/>
        <v>0</v>
      </c>
      <c r="AB135" s="306">
        <f t="shared" si="2"/>
        <v>0</v>
      </c>
    </row>
    <row r="136" spans="1:28" hidden="1" x14ac:dyDescent="0.25">
      <c r="A136" s="349" t="s">
        <v>121</v>
      </c>
      <c r="B136" s="96"/>
      <c r="C136" s="96">
        <v>4050199000</v>
      </c>
      <c r="D136" s="303"/>
      <c r="E136" s="303"/>
      <c r="F136" s="302"/>
      <c r="T136" s="350">
        <f t="shared" si="3"/>
        <v>0</v>
      </c>
      <c r="AB136" s="306">
        <f t="shared" si="2"/>
        <v>0</v>
      </c>
    </row>
    <row r="137" spans="1:28" hidden="1" x14ac:dyDescent="0.25">
      <c r="A137" s="349" t="s">
        <v>378</v>
      </c>
      <c r="B137" s="96"/>
      <c r="C137" s="96">
        <v>4069999000</v>
      </c>
      <c r="D137" s="303"/>
      <c r="E137" s="303"/>
      <c r="F137" s="302"/>
      <c r="T137" s="350">
        <f t="shared" si="3"/>
        <v>0</v>
      </c>
      <c r="AB137" s="306">
        <f t="shared" si="2"/>
        <v>0</v>
      </c>
    </row>
    <row r="138" spans="1:28" hidden="1" x14ac:dyDescent="0.25">
      <c r="A138" s="349" t="s">
        <v>215</v>
      </c>
      <c r="B138" s="96"/>
      <c r="C138" s="96">
        <v>5010101001</v>
      </c>
      <c r="D138" s="303"/>
      <c r="E138" s="303"/>
      <c r="F138" s="302"/>
      <c r="T138" s="350">
        <f t="shared" si="3"/>
        <v>0</v>
      </c>
      <c r="AB138" s="306">
        <f t="shared" si="2"/>
        <v>0</v>
      </c>
    </row>
    <row r="139" spans="1:28" hidden="1" x14ac:dyDescent="0.25">
      <c r="A139" s="349" t="s">
        <v>402</v>
      </c>
      <c r="B139" s="96"/>
      <c r="C139" s="96">
        <v>5010102000</v>
      </c>
      <c r="D139" s="303"/>
      <c r="E139" s="303"/>
      <c r="F139" s="302"/>
      <c r="T139" s="350">
        <f t="shared" si="3"/>
        <v>0</v>
      </c>
      <c r="AB139" s="306">
        <f t="shared" ref="AB139:AB202" si="4">D139+E139</f>
        <v>0</v>
      </c>
    </row>
    <row r="140" spans="1:28" hidden="1" x14ac:dyDescent="0.25">
      <c r="A140" s="349" t="s">
        <v>124</v>
      </c>
      <c r="B140" s="96"/>
      <c r="C140" s="96">
        <v>5010201001</v>
      </c>
      <c r="D140" s="303"/>
      <c r="E140" s="303"/>
      <c r="F140" s="302"/>
      <c r="T140" s="350">
        <f t="shared" si="3"/>
        <v>0</v>
      </c>
      <c r="AB140" s="306">
        <f t="shared" si="4"/>
        <v>0</v>
      </c>
    </row>
    <row r="141" spans="1:28" hidden="1" x14ac:dyDescent="0.25">
      <c r="A141" s="349" t="s">
        <v>125</v>
      </c>
      <c r="B141" s="96"/>
      <c r="C141" s="96">
        <v>5010210001</v>
      </c>
      <c r="D141" s="303"/>
      <c r="E141" s="303"/>
      <c r="F141" s="302"/>
      <c r="T141" s="350">
        <f t="shared" ref="T141:T205" si="5">D141+E141</f>
        <v>0</v>
      </c>
      <c r="AB141" s="306">
        <f t="shared" si="4"/>
        <v>0</v>
      </c>
    </row>
    <row r="142" spans="1:28" hidden="1" x14ac:dyDescent="0.25">
      <c r="A142" s="349" t="s">
        <v>126</v>
      </c>
      <c r="B142" s="96"/>
      <c r="C142" s="96">
        <v>5010211002</v>
      </c>
      <c r="D142" s="303"/>
      <c r="E142" s="303"/>
      <c r="F142" s="302"/>
      <c r="T142" s="350">
        <f t="shared" si="5"/>
        <v>0</v>
      </c>
      <c r="AB142" s="306">
        <f t="shared" si="4"/>
        <v>0</v>
      </c>
    </row>
    <row r="143" spans="1:28" hidden="1" x14ac:dyDescent="0.25">
      <c r="A143" s="349" t="s">
        <v>127</v>
      </c>
      <c r="B143" s="96"/>
      <c r="C143" s="96">
        <v>5010212001</v>
      </c>
      <c r="D143" s="303"/>
      <c r="E143" s="303"/>
      <c r="F143" s="302"/>
      <c r="T143" s="350">
        <f t="shared" si="5"/>
        <v>0</v>
      </c>
      <c r="AB143" s="306">
        <f t="shared" si="4"/>
        <v>0</v>
      </c>
    </row>
    <row r="144" spans="1:28" hidden="1" x14ac:dyDescent="0.25">
      <c r="A144" s="349" t="s">
        <v>38</v>
      </c>
      <c r="B144" s="96"/>
      <c r="C144" s="96">
        <v>5010202000</v>
      </c>
      <c r="D144" s="303"/>
      <c r="E144" s="303"/>
      <c r="F144" s="302"/>
      <c r="T144" s="350">
        <f t="shared" si="5"/>
        <v>0</v>
      </c>
      <c r="AB144" s="306">
        <f t="shared" si="4"/>
        <v>0</v>
      </c>
    </row>
    <row r="145" spans="1:28" hidden="1" x14ac:dyDescent="0.25">
      <c r="A145" s="349" t="s">
        <v>39</v>
      </c>
      <c r="B145" s="96"/>
      <c r="C145" s="96">
        <v>5010203001</v>
      </c>
      <c r="D145" s="303"/>
      <c r="E145" s="303"/>
      <c r="F145" s="302"/>
      <c r="T145" s="350">
        <f t="shared" si="5"/>
        <v>0</v>
      </c>
      <c r="AB145" s="306">
        <f t="shared" si="4"/>
        <v>0</v>
      </c>
    </row>
    <row r="146" spans="1:28" hidden="1" x14ac:dyDescent="0.25">
      <c r="A146" s="349" t="s">
        <v>40</v>
      </c>
      <c r="B146" s="96"/>
      <c r="C146" s="96">
        <v>5010204001</v>
      </c>
      <c r="D146" s="303"/>
      <c r="E146" s="303"/>
      <c r="F146" s="302"/>
      <c r="T146" s="350">
        <f t="shared" si="5"/>
        <v>0</v>
      </c>
      <c r="AB146" s="306">
        <f t="shared" si="4"/>
        <v>0</v>
      </c>
    </row>
    <row r="147" spans="1:28" ht="31.5" hidden="1" x14ac:dyDescent="0.25">
      <c r="A147" s="349" t="s">
        <v>128</v>
      </c>
      <c r="B147" s="96"/>
      <c r="C147" s="96">
        <v>5010205003</v>
      </c>
      <c r="D147" s="303"/>
      <c r="E147" s="303"/>
      <c r="F147" s="302"/>
      <c r="T147" s="350">
        <f t="shared" si="5"/>
        <v>0</v>
      </c>
      <c r="AB147" s="306">
        <f t="shared" si="4"/>
        <v>0</v>
      </c>
    </row>
    <row r="148" spans="1:28" ht="31.5" hidden="1" x14ac:dyDescent="0.25">
      <c r="A148" s="349" t="s">
        <v>129</v>
      </c>
      <c r="B148" s="96"/>
      <c r="C148" s="96">
        <v>5010205004</v>
      </c>
      <c r="D148" s="303"/>
      <c r="E148" s="303"/>
      <c r="F148" s="302"/>
      <c r="T148" s="350">
        <f t="shared" si="5"/>
        <v>0</v>
      </c>
      <c r="AB148" s="306">
        <f t="shared" si="4"/>
        <v>0</v>
      </c>
    </row>
    <row r="149" spans="1:28" ht="31.5" hidden="1" x14ac:dyDescent="0.25">
      <c r="A149" s="349" t="s">
        <v>371</v>
      </c>
      <c r="B149" s="96"/>
      <c r="C149" s="96">
        <v>5010206003</v>
      </c>
      <c r="D149" s="303"/>
      <c r="E149" s="303"/>
      <c r="F149" s="302"/>
      <c r="T149" s="350">
        <f t="shared" si="5"/>
        <v>0</v>
      </c>
      <c r="AB149" s="306">
        <f t="shared" si="4"/>
        <v>0</v>
      </c>
    </row>
    <row r="150" spans="1:28" ht="31.5" hidden="1" x14ac:dyDescent="0.25">
      <c r="A150" s="349" t="s">
        <v>130</v>
      </c>
      <c r="B150" s="96"/>
      <c r="C150" s="96">
        <v>5010206004</v>
      </c>
      <c r="D150" s="303"/>
      <c r="E150" s="303"/>
      <c r="F150" s="302"/>
      <c r="T150" s="350">
        <f t="shared" si="5"/>
        <v>0</v>
      </c>
      <c r="AB150" s="306">
        <f t="shared" si="4"/>
        <v>0</v>
      </c>
    </row>
    <row r="151" spans="1:28" ht="31.5" hidden="1" x14ac:dyDescent="0.25">
      <c r="A151" s="349" t="s">
        <v>131</v>
      </c>
      <c r="B151" s="96"/>
      <c r="C151" s="96">
        <v>5010207004</v>
      </c>
      <c r="D151" s="303"/>
      <c r="E151" s="303"/>
      <c r="F151" s="302"/>
      <c r="T151" s="350">
        <f t="shared" si="5"/>
        <v>0</v>
      </c>
      <c r="AB151" s="306">
        <f t="shared" si="4"/>
        <v>0</v>
      </c>
    </row>
    <row r="152" spans="1:28" ht="31.5" hidden="1" x14ac:dyDescent="0.25">
      <c r="A152" s="349" t="s">
        <v>384</v>
      </c>
      <c r="B152" s="96"/>
      <c r="C152" s="96">
        <v>5010211006</v>
      </c>
      <c r="D152" s="303"/>
      <c r="E152" s="303"/>
      <c r="F152" s="302"/>
      <c r="T152" s="350">
        <f t="shared" si="5"/>
        <v>0</v>
      </c>
      <c r="AB152" s="306">
        <f t="shared" si="4"/>
        <v>0</v>
      </c>
    </row>
    <row r="153" spans="1:28" hidden="1" x14ac:dyDescent="0.25">
      <c r="A153" s="349" t="s">
        <v>132</v>
      </c>
      <c r="B153" s="96"/>
      <c r="C153" s="96">
        <v>5010208001</v>
      </c>
      <c r="D153" s="303"/>
      <c r="E153" s="303"/>
      <c r="F153" s="302"/>
      <c r="T153" s="350">
        <f t="shared" si="5"/>
        <v>0</v>
      </c>
      <c r="AB153" s="306">
        <f t="shared" si="4"/>
        <v>0</v>
      </c>
    </row>
    <row r="154" spans="1:28" hidden="1" x14ac:dyDescent="0.25">
      <c r="A154" s="349" t="s">
        <v>133</v>
      </c>
      <c r="B154" s="96"/>
      <c r="C154" s="96">
        <v>5010299011</v>
      </c>
      <c r="D154" s="303"/>
      <c r="E154" s="303"/>
      <c r="F154" s="302"/>
      <c r="T154" s="350">
        <f t="shared" si="5"/>
        <v>0</v>
      </c>
      <c r="AB154" s="306">
        <f t="shared" si="4"/>
        <v>0</v>
      </c>
    </row>
    <row r="155" spans="1:28" hidden="1" x14ac:dyDescent="0.25">
      <c r="A155" s="349" t="s">
        <v>134</v>
      </c>
      <c r="B155" s="96"/>
      <c r="C155" s="96">
        <v>5010299012</v>
      </c>
      <c r="D155" s="303"/>
      <c r="E155" s="303"/>
      <c r="F155" s="302"/>
      <c r="T155" s="350">
        <f t="shared" si="5"/>
        <v>0</v>
      </c>
      <c r="AB155" s="306">
        <f t="shared" si="4"/>
        <v>0</v>
      </c>
    </row>
    <row r="156" spans="1:28" hidden="1" x14ac:dyDescent="0.25">
      <c r="A156" s="349" t="s">
        <v>135</v>
      </c>
      <c r="B156" s="96"/>
      <c r="C156" s="96">
        <v>5010299014</v>
      </c>
      <c r="D156" s="303"/>
      <c r="E156" s="303"/>
      <c r="F156" s="302"/>
      <c r="T156" s="350">
        <f t="shared" si="5"/>
        <v>0</v>
      </c>
      <c r="AB156" s="306">
        <f t="shared" si="4"/>
        <v>0</v>
      </c>
    </row>
    <row r="157" spans="1:28" hidden="1" x14ac:dyDescent="0.25">
      <c r="A157" s="349" t="s">
        <v>403</v>
      </c>
      <c r="B157" s="96"/>
      <c r="C157" s="96">
        <v>5010299036</v>
      </c>
      <c r="D157" s="303"/>
      <c r="E157" s="303"/>
      <c r="F157" s="302"/>
      <c r="T157" s="350">
        <f t="shared" si="5"/>
        <v>0</v>
      </c>
      <c r="AB157" s="306">
        <f t="shared" si="4"/>
        <v>0</v>
      </c>
    </row>
    <row r="158" spans="1:28" hidden="1" x14ac:dyDescent="0.25">
      <c r="A158" s="349" t="s">
        <v>404</v>
      </c>
      <c r="B158" s="96"/>
      <c r="C158" s="96">
        <v>5010299038</v>
      </c>
      <c r="D158" s="303"/>
      <c r="E158" s="303"/>
      <c r="F158" s="302"/>
      <c r="T158" s="350">
        <f t="shared" si="5"/>
        <v>0</v>
      </c>
      <c r="AB158" s="306">
        <f t="shared" si="4"/>
        <v>0</v>
      </c>
    </row>
    <row r="159" spans="1:28" hidden="1" x14ac:dyDescent="0.25">
      <c r="A159" s="349" t="s">
        <v>214</v>
      </c>
      <c r="B159" s="96"/>
      <c r="C159" s="96">
        <v>5010213001</v>
      </c>
      <c r="D159" s="303"/>
      <c r="E159" s="303"/>
      <c r="F159" s="302"/>
      <c r="T159" s="350">
        <f t="shared" si="5"/>
        <v>0</v>
      </c>
      <c r="AB159" s="306">
        <f t="shared" si="4"/>
        <v>0</v>
      </c>
    </row>
    <row r="160" spans="1:28" hidden="1" x14ac:dyDescent="0.25">
      <c r="A160" s="349" t="s">
        <v>368</v>
      </c>
      <c r="B160" s="96"/>
      <c r="C160" s="96">
        <v>5010213002</v>
      </c>
      <c r="D160" s="303"/>
      <c r="E160" s="303"/>
      <c r="F160" s="302"/>
      <c r="T160" s="350">
        <f t="shared" si="5"/>
        <v>0</v>
      </c>
      <c r="AB160" s="306">
        <f t="shared" si="4"/>
        <v>0</v>
      </c>
    </row>
    <row r="161" spans="1:28" hidden="1" x14ac:dyDescent="0.25">
      <c r="A161" s="349" t="s">
        <v>41</v>
      </c>
      <c r="B161" s="96"/>
      <c r="C161" s="96">
        <v>5010215001</v>
      </c>
      <c r="D161" s="303"/>
      <c r="E161" s="303"/>
      <c r="F161" s="302"/>
      <c r="T161" s="350">
        <f t="shared" si="5"/>
        <v>0</v>
      </c>
      <c r="AB161" s="306">
        <f t="shared" si="4"/>
        <v>0</v>
      </c>
    </row>
    <row r="162" spans="1:28" hidden="1" x14ac:dyDescent="0.25">
      <c r="A162" s="349" t="s">
        <v>96</v>
      </c>
      <c r="B162" s="96"/>
      <c r="C162" s="96">
        <v>5010214001</v>
      </c>
      <c r="D162" s="303"/>
      <c r="E162" s="303"/>
      <c r="F162" s="302"/>
      <c r="T162" s="350">
        <f t="shared" si="5"/>
        <v>0</v>
      </c>
      <c r="AB162" s="306">
        <f t="shared" si="4"/>
        <v>0</v>
      </c>
    </row>
    <row r="163" spans="1:28" hidden="1" x14ac:dyDescent="0.25">
      <c r="A163" s="349" t="s">
        <v>212</v>
      </c>
      <c r="B163" s="96"/>
      <c r="C163" s="96">
        <v>5010301000</v>
      </c>
      <c r="D163" s="303"/>
      <c r="E163" s="303"/>
      <c r="F163" s="302"/>
      <c r="T163" s="350">
        <f t="shared" si="5"/>
        <v>0</v>
      </c>
      <c r="AB163" s="306">
        <f t="shared" si="4"/>
        <v>0</v>
      </c>
    </row>
    <row r="164" spans="1:28" hidden="1" x14ac:dyDescent="0.25">
      <c r="A164" s="349" t="s">
        <v>138</v>
      </c>
      <c r="B164" s="96"/>
      <c r="C164" s="96">
        <v>5010302001</v>
      </c>
      <c r="D164" s="303"/>
      <c r="E164" s="303"/>
      <c r="F164" s="302"/>
      <c r="T164" s="350">
        <f t="shared" si="5"/>
        <v>0</v>
      </c>
      <c r="AB164" s="306">
        <f t="shared" si="4"/>
        <v>0</v>
      </c>
    </row>
    <row r="165" spans="1:28" hidden="1" x14ac:dyDescent="0.25">
      <c r="A165" s="349" t="s">
        <v>139</v>
      </c>
      <c r="B165" s="96"/>
      <c r="C165" s="96">
        <v>5010303001</v>
      </c>
      <c r="D165" s="303"/>
      <c r="E165" s="303"/>
      <c r="F165" s="302"/>
      <c r="T165" s="350">
        <f t="shared" si="5"/>
        <v>0</v>
      </c>
      <c r="AB165" s="306">
        <f t="shared" si="4"/>
        <v>0</v>
      </c>
    </row>
    <row r="166" spans="1:28" ht="31.5" hidden="1" x14ac:dyDescent="0.25">
      <c r="A166" s="349" t="s">
        <v>140</v>
      </c>
      <c r="B166" s="96"/>
      <c r="C166" s="96">
        <v>5010304001</v>
      </c>
      <c r="D166" s="303"/>
      <c r="E166" s="303"/>
      <c r="F166" s="302"/>
      <c r="T166" s="350">
        <f t="shared" si="5"/>
        <v>0</v>
      </c>
      <c r="AB166" s="306">
        <f t="shared" si="4"/>
        <v>0</v>
      </c>
    </row>
    <row r="167" spans="1:28" hidden="1" x14ac:dyDescent="0.25">
      <c r="A167" s="349" t="s">
        <v>141</v>
      </c>
      <c r="B167" s="96"/>
      <c r="C167" s="96">
        <v>5010401001</v>
      </c>
      <c r="D167" s="303"/>
      <c r="E167" s="303"/>
      <c r="F167" s="302"/>
      <c r="T167" s="350">
        <f t="shared" si="5"/>
        <v>0</v>
      </c>
      <c r="AB167" s="306">
        <f t="shared" si="4"/>
        <v>0</v>
      </c>
    </row>
    <row r="168" spans="1:28" hidden="1" x14ac:dyDescent="0.25">
      <c r="A168" s="349" t="s">
        <v>142</v>
      </c>
      <c r="B168" s="96"/>
      <c r="C168" s="96">
        <v>5010402001</v>
      </c>
      <c r="D168" s="303"/>
      <c r="E168" s="303"/>
      <c r="F168" s="302"/>
      <c r="T168" s="350">
        <f t="shared" si="5"/>
        <v>0</v>
      </c>
      <c r="AB168" s="306">
        <f t="shared" si="4"/>
        <v>0</v>
      </c>
    </row>
    <row r="169" spans="1:28" hidden="1" x14ac:dyDescent="0.25">
      <c r="A169" s="349" t="s">
        <v>143</v>
      </c>
      <c r="B169" s="96"/>
      <c r="C169" s="96">
        <v>5010403001</v>
      </c>
      <c r="D169" s="303"/>
      <c r="E169" s="303"/>
      <c r="F169" s="302"/>
      <c r="T169" s="350">
        <f t="shared" si="5"/>
        <v>0</v>
      </c>
      <c r="AB169" s="306">
        <f t="shared" si="4"/>
        <v>0</v>
      </c>
    </row>
    <row r="170" spans="1:28" hidden="1" x14ac:dyDescent="0.25">
      <c r="A170" s="349" t="s">
        <v>382</v>
      </c>
      <c r="B170" s="96"/>
      <c r="C170" s="96">
        <v>5010499015</v>
      </c>
      <c r="D170" s="303"/>
      <c r="E170" s="303"/>
      <c r="F170" s="302"/>
      <c r="T170" s="350">
        <f t="shared" si="5"/>
        <v>0</v>
      </c>
      <c r="AB170" s="306">
        <f t="shared" si="4"/>
        <v>0</v>
      </c>
    </row>
    <row r="171" spans="1:28" hidden="1" x14ac:dyDescent="0.25">
      <c r="A171" s="349" t="s">
        <v>379</v>
      </c>
      <c r="B171" s="96"/>
      <c r="C171" s="96">
        <v>5010499010</v>
      </c>
      <c r="D171" s="303"/>
      <c r="E171" s="303"/>
      <c r="F171" s="302"/>
      <c r="T171" s="350">
        <f t="shared" si="5"/>
        <v>0</v>
      </c>
      <c r="AB171" s="306">
        <f t="shared" si="4"/>
        <v>0</v>
      </c>
    </row>
    <row r="172" spans="1:28" ht="31.5" hidden="1" x14ac:dyDescent="0.25">
      <c r="A172" s="349" t="s">
        <v>467</v>
      </c>
      <c r="B172" s="96"/>
      <c r="C172" s="96">
        <v>5010499011</v>
      </c>
      <c r="D172" s="303"/>
      <c r="E172" s="303"/>
      <c r="F172" s="302"/>
      <c r="T172" s="350">
        <f t="shared" si="5"/>
        <v>0</v>
      </c>
      <c r="AB172" s="306">
        <f t="shared" si="4"/>
        <v>0</v>
      </c>
    </row>
    <row r="173" spans="1:28" hidden="1" x14ac:dyDescent="0.25">
      <c r="A173" s="349" t="s">
        <v>405</v>
      </c>
      <c r="B173" s="96"/>
      <c r="C173" s="96">
        <v>5010499099</v>
      </c>
      <c r="D173" s="303"/>
      <c r="E173" s="303"/>
      <c r="F173" s="302"/>
      <c r="T173" s="350">
        <f t="shared" si="5"/>
        <v>0</v>
      </c>
      <c r="AB173" s="306">
        <f t="shared" si="4"/>
        <v>0</v>
      </c>
    </row>
    <row r="174" spans="1:28" hidden="1" x14ac:dyDescent="0.25">
      <c r="A174" s="349" t="s">
        <v>42</v>
      </c>
      <c r="B174" s="96"/>
      <c r="C174" s="96">
        <v>5020101000</v>
      </c>
      <c r="D174" s="303"/>
      <c r="E174" s="303"/>
      <c r="F174" s="302"/>
      <c r="T174" s="350">
        <f t="shared" si="5"/>
        <v>0</v>
      </c>
      <c r="AB174" s="306">
        <f t="shared" si="4"/>
        <v>0</v>
      </c>
    </row>
    <row r="175" spans="1:28" hidden="1" x14ac:dyDescent="0.25">
      <c r="A175" s="349" t="s">
        <v>43</v>
      </c>
      <c r="B175" s="96"/>
      <c r="C175" s="96">
        <v>5020201002</v>
      </c>
      <c r="D175" s="303"/>
      <c r="E175" s="303"/>
      <c r="F175" s="302"/>
      <c r="T175" s="350">
        <f t="shared" si="5"/>
        <v>0</v>
      </c>
      <c r="AB175" s="306">
        <f t="shared" si="4"/>
        <v>0</v>
      </c>
    </row>
    <row r="176" spans="1:28" hidden="1" x14ac:dyDescent="0.25">
      <c r="A176" s="349" t="s">
        <v>44</v>
      </c>
      <c r="B176" s="96"/>
      <c r="C176" s="96">
        <v>5020202000</v>
      </c>
      <c r="D176" s="303"/>
      <c r="E176" s="303"/>
      <c r="F176" s="302"/>
      <c r="T176" s="350">
        <f t="shared" si="5"/>
        <v>0</v>
      </c>
      <c r="AB176" s="306">
        <f t="shared" si="4"/>
        <v>0</v>
      </c>
    </row>
    <row r="177" spans="1:28" hidden="1" x14ac:dyDescent="0.25">
      <c r="A177" s="349" t="s">
        <v>413</v>
      </c>
      <c r="B177" s="96"/>
      <c r="C177" s="96">
        <v>5020301001</v>
      </c>
      <c r="D177" s="303"/>
      <c r="E177" s="303"/>
      <c r="F177" s="302"/>
      <c r="T177" s="350">
        <f t="shared" si="5"/>
        <v>0</v>
      </c>
      <c r="AB177" s="306">
        <f t="shared" si="4"/>
        <v>0</v>
      </c>
    </row>
    <row r="178" spans="1:28" hidden="1" x14ac:dyDescent="0.25">
      <c r="A178" s="349" t="s">
        <v>45</v>
      </c>
      <c r="B178" s="96"/>
      <c r="C178" s="96">
        <v>5020301002</v>
      </c>
      <c r="D178" s="303"/>
      <c r="E178" s="303"/>
      <c r="F178" s="302"/>
      <c r="T178" s="350">
        <f t="shared" si="5"/>
        <v>0</v>
      </c>
      <c r="AB178" s="306">
        <f t="shared" si="4"/>
        <v>0</v>
      </c>
    </row>
    <row r="179" spans="1:28" hidden="1" x14ac:dyDescent="0.25">
      <c r="A179" s="349" t="s">
        <v>46</v>
      </c>
      <c r="B179" s="96"/>
      <c r="C179" s="96">
        <v>5020302000</v>
      </c>
      <c r="D179" s="303"/>
      <c r="E179" s="303"/>
      <c r="F179" s="302"/>
      <c r="T179" s="350">
        <f t="shared" si="5"/>
        <v>0</v>
      </c>
      <c r="AB179" s="306">
        <f t="shared" si="4"/>
        <v>0</v>
      </c>
    </row>
    <row r="180" spans="1:28" hidden="1" x14ac:dyDescent="0.25">
      <c r="A180" s="395" t="s">
        <v>47</v>
      </c>
      <c r="B180" s="96"/>
      <c r="C180" s="352">
        <v>5020305000</v>
      </c>
      <c r="D180" s="303"/>
      <c r="E180" s="303"/>
      <c r="F180" s="302"/>
      <c r="T180" s="350">
        <f t="shared" si="5"/>
        <v>0</v>
      </c>
      <c r="AB180" s="306">
        <f t="shared" si="4"/>
        <v>0</v>
      </c>
    </row>
    <row r="181" spans="1:28" hidden="1" x14ac:dyDescent="0.25">
      <c r="A181" s="395" t="s">
        <v>144</v>
      </c>
      <c r="B181" s="96"/>
      <c r="C181" s="352">
        <v>5020306000</v>
      </c>
      <c r="D181" s="303"/>
      <c r="E181" s="303"/>
      <c r="F181" s="302"/>
      <c r="T181" s="350">
        <f t="shared" si="5"/>
        <v>0</v>
      </c>
      <c r="AB181" s="306">
        <f t="shared" si="4"/>
        <v>0</v>
      </c>
    </row>
    <row r="182" spans="1:28" hidden="1" x14ac:dyDescent="0.25">
      <c r="A182" s="395" t="s">
        <v>48</v>
      </c>
      <c r="B182" s="96"/>
      <c r="C182" s="352">
        <v>5020307000</v>
      </c>
      <c r="D182" s="303"/>
      <c r="E182" s="303"/>
      <c r="F182" s="302"/>
      <c r="T182" s="350"/>
      <c r="AB182" s="306">
        <f t="shared" si="4"/>
        <v>0</v>
      </c>
    </row>
    <row r="183" spans="1:28" hidden="1" x14ac:dyDescent="0.25">
      <c r="A183" s="396" t="s">
        <v>49</v>
      </c>
      <c r="B183" s="96"/>
      <c r="C183" s="356">
        <v>5020308000</v>
      </c>
      <c r="D183" s="303"/>
      <c r="E183" s="303"/>
      <c r="F183" s="302"/>
      <c r="T183" s="350">
        <f t="shared" si="5"/>
        <v>0</v>
      </c>
      <c r="AB183" s="306">
        <f t="shared" si="4"/>
        <v>0</v>
      </c>
    </row>
    <row r="184" spans="1:28" hidden="1" x14ac:dyDescent="0.25">
      <c r="A184" s="395" t="s">
        <v>145</v>
      </c>
      <c r="B184" s="96"/>
      <c r="C184" s="352">
        <v>5020309000</v>
      </c>
      <c r="D184" s="303"/>
      <c r="E184" s="303"/>
      <c r="F184" s="302"/>
      <c r="T184" s="350">
        <f t="shared" si="5"/>
        <v>0</v>
      </c>
      <c r="AB184" s="306">
        <f t="shared" si="4"/>
        <v>0</v>
      </c>
    </row>
    <row r="185" spans="1:28" hidden="1" x14ac:dyDescent="0.25">
      <c r="A185" s="349" t="s">
        <v>211</v>
      </c>
      <c r="B185" s="96"/>
      <c r="C185" s="96">
        <v>5020399000</v>
      </c>
      <c r="D185" s="303"/>
      <c r="E185" s="303"/>
      <c r="F185" s="302"/>
      <c r="T185" s="350">
        <f t="shared" si="5"/>
        <v>0</v>
      </c>
      <c r="AB185" s="306">
        <f t="shared" si="4"/>
        <v>0</v>
      </c>
    </row>
    <row r="186" spans="1:28" ht="31.5" hidden="1" x14ac:dyDescent="0.25">
      <c r="A186" s="349" t="s">
        <v>373</v>
      </c>
      <c r="B186" s="96"/>
      <c r="C186" s="96">
        <v>5020321002</v>
      </c>
      <c r="D186" s="303"/>
      <c r="E186" s="303"/>
      <c r="F186" s="302"/>
      <c r="T186" s="350">
        <f t="shared" si="5"/>
        <v>0</v>
      </c>
      <c r="AB186" s="306">
        <f t="shared" si="4"/>
        <v>0</v>
      </c>
    </row>
    <row r="187" spans="1:28" hidden="1" x14ac:dyDescent="0.25">
      <c r="A187" s="349" t="s">
        <v>372</v>
      </c>
      <c r="B187" s="96"/>
      <c r="C187" s="96">
        <v>5020321003</v>
      </c>
      <c r="D187" s="303"/>
      <c r="E187" s="303"/>
      <c r="F187" s="302"/>
      <c r="T187" s="350">
        <f t="shared" si="5"/>
        <v>0</v>
      </c>
      <c r="AB187" s="306">
        <f t="shared" si="4"/>
        <v>0</v>
      </c>
    </row>
    <row r="188" spans="1:28" ht="31.5" hidden="1" x14ac:dyDescent="0.25">
      <c r="A188" s="349" t="s">
        <v>374</v>
      </c>
      <c r="B188" s="96"/>
      <c r="C188" s="96">
        <v>5020321007</v>
      </c>
      <c r="D188" s="303"/>
      <c r="E188" s="303"/>
      <c r="F188" s="302"/>
      <c r="T188" s="350">
        <f t="shared" si="5"/>
        <v>0</v>
      </c>
      <c r="AB188" s="306">
        <f t="shared" si="4"/>
        <v>0</v>
      </c>
    </row>
    <row r="189" spans="1:28" ht="31.5" hidden="1" x14ac:dyDescent="0.25">
      <c r="A189" s="349" t="s">
        <v>380</v>
      </c>
      <c r="B189" s="96"/>
      <c r="C189" s="96">
        <v>5020321001</v>
      </c>
      <c r="D189" s="303"/>
      <c r="E189" s="303"/>
      <c r="F189" s="302"/>
      <c r="T189" s="350">
        <f t="shared" si="5"/>
        <v>0</v>
      </c>
      <c r="AB189" s="306">
        <f t="shared" si="4"/>
        <v>0</v>
      </c>
    </row>
    <row r="190" spans="1:28" ht="31.5" hidden="1" x14ac:dyDescent="0.25">
      <c r="A190" s="349" t="s">
        <v>376</v>
      </c>
      <c r="B190" s="96"/>
      <c r="C190" s="96">
        <v>5020321010</v>
      </c>
      <c r="D190" s="303"/>
      <c r="E190" s="303"/>
      <c r="F190" s="302"/>
      <c r="T190" s="350">
        <f t="shared" si="5"/>
        <v>0</v>
      </c>
      <c r="AB190" s="306">
        <f t="shared" si="4"/>
        <v>0</v>
      </c>
    </row>
    <row r="191" spans="1:28" ht="31.5" hidden="1" x14ac:dyDescent="0.25">
      <c r="A191" s="349" t="s">
        <v>369</v>
      </c>
      <c r="B191" s="96"/>
      <c r="C191" s="96">
        <v>5020321099</v>
      </c>
      <c r="D191" s="303"/>
      <c r="E191" s="303"/>
      <c r="F191" s="302"/>
      <c r="T191" s="350">
        <f t="shared" si="5"/>
        <v>0</v>
      </c>
      <c r="AB191" s="306">
        <f t="shared" si="4"/>
        <v>0</v>
      </c>
    </row>
    <row r="192" spans="1:28" hidden="1" x14ac:dyDescent="0.25">
      <c r="A192" s="349" t="s">
        <v>375</v>
      </c>
      <c r="B192" s="96"/>
      <c r="C192" s="96">
        <v>5020322001</v>
      </c>
      <c r="D192" s="303"/>
      <c r="E192" s="303"/>
      <c r="F192" s="302"/>
      <c r="T192" s="350">
        <f t="shared" si="5"/>
        <v>0</v>
      </c>
      <c r="AB192" s="306">
        <f t="shared" si="4"/>
        <v>0</v>
      </c>
    </row>
    <row r="193" spans="1:28" hidden="1" x14ac:dyDescent="0.25">
      <c r="A193" s="349" t="s">
        <v>51</v>
      </c>
      <c r="B193" s="96"/>
      <c r="C193" s="96">
        <v>5020401000</v>
      </c>
      <c r="D193" s="303"/>
      <c r="E193" s="303"/>
      <c r="F193" s="302"/>
      <c r="T193" s="350">
        <f t="shared" si="5"/>
        <v>0</v>
      </c>
      <c r="AB193" s="306">
        <f t="shared" si="4"/>
        <v>0</v>
      </c>
    </row>
    <row r="194" spans="1:28" hidden="1" x14ac:dyDescent="0.25">
      <c r="A194" s="349" t="s">
        <v>52</v>
      </c>
      <c r="B194" s="96"/>
      <c r="C194" s="96">
        <v>5020402000</v>
      </c>
      <c r="D194" s="303"/>
      <c r="E194" s="303"/>
      <c r="F194" s="302"/>
      <c r="T194" s="350">
        <f t="shared" si="5"/>
        <v>0</v>
      </c>
      <c r="AB194" s="306">
        <f t="shared" si="4"/>
        <v>0</v>
      </c>
    </row>
    <row r="195" spans="1:28" hidden="1" x14ac:dyDescent="0.25">
      <c r="A195" s="397" t="s">
        <v>406</v>
      </c>
      <c r="B195" s="96"/>
      <c r="C195" s="96">
        <v>5020501000</v>
      </c>
      <c r="D195" s="303"/>
      <c r="E195" s="303"/>
      <c r="F195" s="302"/>
      <c r="T195" s="350">
        <f t="shared" si="5"/>
        <v>0</v>
      </c>
      <c r="AB195" s="306">
        <f t="shared" si="4"/>
        <v>0</v>
      </c>
    </row>
    <row r="196" spans="1:28" hidden="1" x14ac:dyDescent="0.25">
      <c r="A196" s="349" t="s">
        <v>54</v>
      </c>
      <c r="B196" s="96"/>
      <c r="C196" s="96">
        <v>5020502002</v>
      </c>
      <c r="D196" s="303"/>
      <c r="E196" s="303"/>
      <c r="F196" s="302"/>
      <c r="T196" s="350">
        <f t="shared" si="5"/>
        <v>0</v>
      </c>
      <c r="AB196" s="306">
        <f t="shared" si="4"/>
        <v>0</v>
      </c>
    </row>
    <row r="197" spans="1:28" hidden="1" x14ac:dyDescent="0.25">
      <c r="A197" s="398" t="s">
        <v>55</v>
      </c>
      <c r="B197" s="96"/>
      <c r="C197" s="96">
        <v>5020502001</v>
      </c>
      <c r="D197" s="303"/>
      <c r="E197" s="303"/>
      <c r="F197" s="302"/>
      <c r="T197" s="350">
        <f t="shared" si="5"/>
        <v>0</v>
      </c>
      <c r="AB197" s="306">
        <f t="shared" si="4"/>
        <v>0</v>
      </c>
    </row>
    <row r="198" spans="1:28" hidden="1" x14ac:dyDescent="0.25">
      <c r="A198" s="349" t="s">
        <v>146</v>
      </c>
      <c r="B198" s="96"/>
      <c r="C198" s="96">
        <v>5020503000</v>
      </c>
      <c r="D198" s="303"/>
      <c r="E198" s="303"/>
      <c r="F198" s="302"/>
      <c r="T198" s="350">
        <f t="shared" si="5"/>
        <v>0</v>
      </c>
      <c r="AB198" s="306">
        <f t="shared" si="4"/>
        <v>0</v>
      </c>
    </row>
    <row r="199" spans="1:28" hidden="1" x14ac:dyDescent="0.25">
      <c r="A199" s="349" t="s">
        <v>56</v>
      </c>
      <c r="B199" s="96"/>
      <c r="C199" s="96">
        <v>5020504000</v>
      </c>
      <c r="D199" s="303"/>
      <c r="E199" s="303"/>
      <c r="F199" s="302"/>
      <c r="T199" s="350">
        <f t="shared" si="5"/>
        <v>0</v>
      </c>
      <c r="AB199" s="306">
        <f t="shared" si="4"/>
        <v>0</v>
      </c>
    </row>
    <row r="200" spans="1:28" hidden="1" x14ac:dyDescent="0.25">
      <c r="A200" s="349" t="s">
        <v>57</v>
      </c>
      <c r="B200" s="96"/>
      <c r="C200" s="96">
        <v>5029906000</v>
      </c>
      <c r="D200" s="303"/>
      <c r="E200" s="303"/>
      <c r="F200" s="302"/>
      <c r="T200" s="350">
        <f t="shared" si="5"/>
        <v>0</v>
      </c>
      <c r="AB200" s="306">
        <f t="shared" si="4"/>
        <v>0</v>
      </c>
    </row>
    <row r="201" spans="1:28" hidden="1" x14ac:dyDescent="0.25">
      <c r="A201" s="349" t="s">
        <v>147</v>
      </c>
      <c r="B201" s="96"/>
      <c r="C201" s="96">
        <v>5020601001</v>
      </c>
      <c r="D201" s="303"/>
      <c r="E201" s="303"/>
      <c r="F201" s="302"/>
      <c r="T201" s="350">
        <f t="shared" si="5"/>
        <v>0</v>
      </c>
      <c r="AB201" s="306">
        <f t="shared" si="4"/>
        <v>0</v>
      </c>
    </row>
    <row r="202" spans="1:28" hidden="1" x14ac:dyDescent="0.25">
      <c r="A202" s="349" t="s">
        <v>209</v>
      </c>
      <c r="B202" s="96"/>
      <c r="C202" s="96">
        <v>5020901002</v>
      </c>
      <c r="D202" s="303"/>
      <c r="E202" s="303"/>
      <c r="F202" s="302"/>
      <c r="T202" s="350">
        <f t="shared" si="5"/>
        <v>0</v>
      </c>
      <c r="AB202" s="306">
        <f t="shared" si="4"/>
        <v>0</v>
      </c>
    </row>
    <row r="203" spans="1:28" hidden="1" x14ac:dyDescent="0.25">
      <c r="A203" s="349" t="s">
        <v>210</v>
      </c>
      <c r="B203" s="96"/>
      <c r="C203" s="96">
        <v>5020602000</v>
      </c>
      <c r="D203" s="303"/>
      <c r="E203" s="303"/>
      <c r="F203" s="302"/>
      <c r="T203" s="350">
        <f t="shared" si="5"/>
        <v>0</v>
      </c>
      <c r="AB203" s="306">
        <f t="shared" ref="AB203:AB266" si="6">D203+E203</f>
        <v>0</v>
      </c>
    </row>
    <row r="204" spans="1:28" hidden="1" x14ac:dyDescent="0.25">
      <c r="A204" s="349" t="s">
        <v>58</v>
      </c>
      <c r="B204" s="96"/>
      <c r="C204" s="96">
        <v>5029901000</v>
      </c>
      <c r="D204" s="303"/>
      <c r="E204" s="303"/>
      <c r="F204" s="302"/>
      <c r="T204" s="350">
        <f t="shared" si="5"/>
        <v>0</v>
      </c>
      <c r="AB204" s="306">
        <f t="shared" si="6"/>
        <v>0</v>
      </c>
    </row>
    <row r="205" spans="1:28" hidden="1" x14ac:dyDescent="0.25">
      <c r="A205" s="349" t="s">
        <v>148</v>
      </c>
      <c r="B205" s="96"/>
      <c r="C205" s="96">
        <v>5029902000</v>
      </c>
      <c r="D205" s="303"/>
      <c r="E205" s="303"/>
      <c r="F205" s="302"/>
      <c r="T205" s="350">
        <f t="shared" si="5"/>
        <v>0</v>
      </c>
      <c r="AB205" s="306">
        <f t="shared" si="6"/>
        <v>0</v>
      </c>
    </row>
    <row r="206" spans="1:28" hidden="1" x14ac:dyDescent="0.25">
      <c r="A206" s="349" t="s">
        <v>59</v>
      </c>
      <c r="B206" s="96"/>
      <c r="C206" s="96">
        <v>5029903000</v>
      </c>
      <c r="D206" s="303"/>
      <c r="E206" s="303"/>
      <c r="F206" s="302"/>
      <c r="T206" s="350">
        <f t="shared" ref="T206:T268" si="7">D206+E206</f>
        <v>0</v>
      </c>
      <c r="AB206" s="306">
        <f t="shared" si="6"/>
        <v>0</v>
      </c>
    </row>
    <row r="207" spans="1:28" hidden="1" x14ac:dyDescent="0.25">
      <c r="A207" s="349" t="s">
        <v>60</v>
      </c>
      <c r="B207" s="96"/>
      <c r="C207" s="96">
        <v>5029904000</v>
      </c>
      <c r="D207" s="303"/>
      <c r="E207" s="303"/>
      <c r="F207" s="302"/>
      <c r="T207" s="350">
        <f t="shared" si="7"/>
        <v>0</v>
      </c>
      <c r="AB207" s="306">
        <f t="shared" si="6"/>
        <v>0</v>
      </c>
    </row>
    <row r="208" spans="1:28" hidden="1" x14ac:dyDescent="0.25">
      <c r="A208" s="349" t="s">
        <v>407</v>
      </c>
      <c r="B208" s="96"/>
      <c r="C208" s="96">
        <v>5029905001</v>
      </c>
      <c r="D208" s="303"/>
      <c r="E208" s="303"/>
      <c r="F208" s="302"/>
      <c r="T208" s="350">
        <f t="shared" si="7"/>
        <v>0</v>
      </c>
      <c r="AB208" s="306">
        <f t="shared" si="6"/>
        <v>0</v>
      </c>
    </row>
    <row r="209" spans="1:28" hidden="1" x14ac:dyDescent="0.25">
      <c r="A209" s="349" t="s">
        <v>408</v>
      </c>
      <c r="B209" s="96"/>
      <c r="C209" s="96">
        <v>5029905003</v>
      </c>
      <c r="D209" s="303"/>
      <c r="E209" s="303"/>
      <c r="F209" s="302"/>
      <c r="T209" s="350">
        <f t="shared" si="7"/>
        <v>0</v>
      </c>
      <c r="AB209" s="306">
        <f t="shared" si="6"/>
        <v>0</v>
      </c>
    </row>
    <row r="210" spans="1:28" hidden="1" x14ac:dyDescent="0.25">
      <c r="A210" s="349" t="s">
        <v>409</v>
      </c>
      <c r="B210" s="96"/>
      <c r="C210" s="96">
        <v>5029905004</v>
      </c>
      <c r="D210" s="303"/>
      <c r="E210" s="303"/>
      <c r="F210" s="302"/>
      <c r="T210" s="350">
        <f t="shared" si="7"/>
        <v>0</v>
      </c>
      <c r="AB210" s="306">
        <f t="shared" si="6"/>
        <v>0</v>
      </c>
    </row>
    <row r="211" spans="1:28" hidden="1" x14ac:dyDescent="0.25">
      <c r="A211" s="349" t="s">
        <v>410</v>
      </c>
      <c r="B211" s="96"/>
      <c r="C211" s="96">
        <v>5029905005</v>
      </c>
      <c r="D211" s="303"/>
      <c r="E211" s="303"/>
      <c r="F211" s="302"/>
      <c r="T211" s="350">
        <f t="shared" si="7"/>
        <v>0</v>
      </c>
      <c r="AB211" s="306">
        <f t="shared" si="6"/>
        <v>0</v>
      </c>
    </row>
    <row r="212" spans="1:28" hidden="1" x14ac:dyDescent="0.25">
      <c r="A212" s="349" t="s">
        <v>153</v>
      </c>
      <c r="B212" s="96"/>
      <c r="C212" s="96">
        <v>5029905006</v>
      </c>
      <c r="D212" s="303"/>
      <c r="E212" s="303"/>
      <c r="F212" s="302"/>
      <c r="T212" s="350">
        <f t="shared" si="7"/>
        <v>0</v>
      </c>
      <c r="AB212" s="306">
        <f t="shared" si="6"/>
        <v>0</v>
      </c>
    </row>
    <row r="213" spans="1:28" hidden="1" x14ac:dyDescent="0.25">
      <c r="A213" s="349" t="s">
        <v>416</v>
      </c>
      <c r="B213" s="96"/>
      <c r="C213" s="96">
        <v>5029905008</v>
      </c>
      <c r="D213" s="303"/>
      <c r="E213" s="303"/>
      <c r="F213" s="302"/>
      <c r="T213" s="350">
        <f t="shared" si="7"/>
        <v>0</v>
      </c>
      <c r="AB213" s="306">
        <f t="shared" si="6"/>
        <v>0</v>
      </c>
    </row>
    <row r="214" spans="1:28" hidden="1" x14ac:dyDescent="0.25">
      <c r="A214" s="349" t="s">
        <v>61</v>
      </c>
      <c r="B214" s="96"/>
      <c r="C214" s="96">
        <v>5029907000</v>
      </c>
      <c r="D214" s="303"/>
      <c r="E214" s="303"/>
      <c r="F214" s="302"/>
      <c r="T214" s="350">
        <f t="shared" si="7"/>
        <v>0</v>
      </c>
      <c r="AB214" s="306">
        <f t="shared" si="6"/>
        <v>0</v>
      </c>
    </row>
    <row r="215" spans="1:28" hidden="1" x14ac:dyDescent="0.25">
      <c r="A215" s="349" t="s">
        <v>458</v>
      </c>
      <c r="B215" s="96"/>
      <c r="C215" s="96">
        <v>5029907001</v>
      </c>
      <c r="D215" s="303"/>
      <c r="E215" s="303"/>
      <c r="F215" s="302"/>
      <c r="T215" s="350">
        <f t="shared" si="7"/>
        <v>0</v>
      </c>
      <c r="AB215" s="306">
        <f t="shared" si="6"/>
        <v>0</v>
      </c>
    </row>
    <row r="216" spans="1:28" hidden="1" x14ac:dyDescent="0.25">
      <c r="A216" s="349" t="s">
        <v>154</v>
      </c>
      <c r="B216" s="96"/>
      <c r="C216" s="96">
        <v>5021101000</v>
      </c>
      <c r="D216" s="303"/>
      <c r="E216" s="303"/>
      <c r="F216" s="302"/>
      <c r="T216" s="350">
        <f t="shared" si="7"/>
        <v>0</v>
      </c>
      <c r="AB216" s="306">
        <f t="shared" si="6"/>
        <v>0</v>
      </c>
    </row>
    <row r="217" spans="1:28" hidden="1" x14ac:dyDescent="0.25">
      <c r="A217" s="349" t="s">
        <v>62</v>
      </c>
      <c r="B217" s="96"/>
      <c r="C217" s="96">
        <v>5021102000</v>
      </c>
      <c r="D217" s="303"/>
      <c r="E217" s="303"/>
      <c r="F217" s="302"/>
      <c r="T217" s="350">
        <f t="shared" si="7"/>
        <v>0</v>
      </c>
      <c r="AB217" s="306">
        <f t="shared" si="6"/>
        <v>0</v>
      </c>
    </row>
    <row r="218" spans="1:28" hidden="1" x14ac:dyDescent="0.25">
      <c r="A218" s="349" t="s">
        <v>63</v>
      </c>
      <c r="B218" s="96"/>
      <c r="C218" s="96">
        <v>5021103002</v>
      </c>
      <c r="D218" s="303"/>
      <c r="E218" s="303"/>
      <c r="F218" s="302"/>
      <c r="T218" s="350">
        <f t="shared" si="7"/>
        <v>0</v>
      </c>
      <c r="AB218" s="306">
        <f t="shared" si="6"/>
        <v>0</v>
      </c>
    </row>
    <row r="219" spans="1:28" hidden="1" x14ac:dyDescent="0.25">
      <c r="A219" s="349" t="s">
        <v>64</v>
      </c>
      <c r="B219" s="96"/>
      <c r="C219" s="96">
        <v>5021202000</v>
      </c>
      <c r="D219" s="303"/>
      <c r="E219" s="303"/>
      <c r="F219" s="302"/>
      <c r="T219" s="350">
        <f t="shared" si="7"/>
        <v>0</v>
      </c>
      <c r="AB219" s="306">
        <f t="shared" si="6"/>
        <v>0</v>
      </c>
    </row>
    <row r="220" spans="1:28" hidden="1" x14ac:dyDescent="0.25">
      <c r="A220" s="349" t="s">
        <v>65</v>
      </c>
      <c r="B220" s="96"/>
      <c r="C220" s="96">
        <v>5021203000</v>
      </c>
      <c r="D220" s="303"/>
      <c r="E220" s="303"/>
      <c r="F220" s="302"/>
      <c r="T220" s="350">
        <f t="shared" si="7"/>
        <v>0</v>
      </c>
      <c r="AB220" s="306">
        <f t="shared" si="6"/>
        <v>0</v>
      </c>
    </row>
    <row r="221" spans="1:28" hidden="1" x14ac:dyDescent="0.25">
      <c r="A221" s="349" t="s">
        <v>66</v>
      </c>
      <c r="B221" s="96"/>
      <c r="C221" s="96">
        <v>5021199000</v>
      </c>
      <c r="D221" s="303"/>
      <c r="E221" s="303"/>
      <c r="F221" s="302"/>
      <c r="T221" s="350">
        <f t="shared" si="7"/>
        <v>0</v>
      </c>
      <c r="AB221" s="306">
        <f t="shared" si="6"/>
        <v>0</v>
      </c>
    </row>
    <row r="222" spans="1:28" hidden="1" x14ac:dyDescent="0.25">
      <c r="A222" s="349" t="s">
        <v>208</v>
      </c>
      <c r="B222" s="96"/>
      <c r="C222" s="96">
        <v>5021299000</v>
      </c>
      <c r="D222" s="303"/>
      <c r="E222" s="303"/>
      <c r="F222" s="302"/>
      <c r="T222" s="350">
        <f t="shared" si="7"/>
        <v>0</v>
      </c>
      <c r="AB222" s="306">
        <f t="shared" si="6"/>
        <v>0</v>
      </c>
    </row>
    <row r="223" spans="1:28" ht="31.5" hidden="1" x14ac:dyDescent="0.25">
      <c r="A223" s="349" t="s">
        <v>155</v>
      </c>
      <c r="B223" s="96"/>
      <c r="C223" s="96">
        <v>5021304001</v>
      </c>
      <c r="D223" s="303"/>
      <c r="E223" s="303"/>
      <c r="F223" s="302"/>
      <c r="T223" s="350">
        <f t="shared" si="7"/>
        <v>0</v>
      </c>
      <c r="AB223" s="306">
        <f t="shared" si="6"/>
        <v>0</v>
      </c>
    </row>
    <row r="224" spans="1:28" ht="31.5" hidden="1" x14ac:dyDescent="0.25">
      <c r="A224" s="349" t="s">
        <v>156</v>
      </c>
      <c r="B224" s="96"/>
      <c r="C224" s="96">
        <v>5021304006</v>
      </c>
      <c r="D224" s="303"/>
      <c r="E224" s="303"/>
      <c r="F224" s="302"/>
      <c r="T224" s="350">
        <f t="shared" si="7"/>
        <v>0</v>
      </c>
      <c r="AB224" s="306">
        <f t="shared" si="6"/>
        <v>0</v>
      </c>
    </row>
    <row r="225" spans="1:28" ht="31.5" hidden="1" x14ac:dyDescent="0.25">
      <c r="A225" s="349" t="s">
        <v>157</v>
      </c>
      <c r="B225" s="96"/>
      <c r="C225" s="96">
        <v>5021304099</v>
      </c>
      <c r="D225" s="303"/>
      <c r="E225" s="303"/>
      <c r="F225" s="302"/>
      <c r="T225" s="350">
        <f t="shared" si="7"/>
        <v>0</v>
      </c>
      <c r="AB225" s="306">
        <f t="shared" si="6"/>
        <v>0</v>
      </c>
    </row>
    <row r="226" spans="1:28" ht="31.5" hidden="1" x14ac:dyDescent="0.25">
      <c r="A226" s="349" t="s">
        <v>158</v>
      </c>
      <c r="B226" s="96"/>
      <c r="C226" s="96">
        <v>5021309000</v>
      </c>
      <c r="D226" s="303"/>
      <c r="E226" s="303"/>
      <c r="F226" s="302"/>
      <c r="T226" s="350">
        <f t="shared" si="7"/>
        <v>0</v>
      </c>
      <c r="AB226" s="306">
        <f t="shared" si="6"/>
        <v>0</v>
      </c>
    </row>
    <row r="227" spans="1:28" hidden="1" x14ac:dyDescent="0.25">
      <c r="A227" s="349" t="s">
        <v>67</v>
      </c>
      <c r="B227" s="96"/>
      <c r="C227" s="96">
        <v>5021307000</v>
      </c>
      <c r="D227" s="303"/>
      <c r="E227" s="303"/>
      <c r="F227" s="302"/>
      <c r="T227" s="350">
        <f t="shared" si="7"/>
        <v>0</v>
      </c>
      <c r="AB227" s="306">
        <f t="shared" si="6"/>
        <v>0</v>
      </c>
    </row>
    <row r="228" spans="1:28" ht="31.5" hidden="1" x14ac:dyDescent="0.25">
      <c r="A228" s="349" t="s">
        <v>159</v>
      </c>
      <c r="B228" s="96"/>
      <c r="C228" s="96">
        <v>5021305002</v>
      </c>
      <c r="D228" s="303"/>
      <c r="E228" s="303"/>
      <c r="F228" s="302"/>
      <c r="T228" s="350">
        <f t="shared" si="7"/>
        <v>0</v>
      </c>
      <c r="AB228" s="306">
        <f t="shared" si="6"/>
        <v>0</v>
      </c>
    </row>
    <row r="229" spans="1:28" ht="31.5" hidden="1" x14ac:dyDescent="0.25">
      <c r="A229" s="349" t="s">
        <v>160</v>
      </c>
      <c r="B229" s="96"/>
      <c r="C229" s="96">
        <v>5021305003</v>
      </c>
      <c r="D229" s="303"/>
      <c r="E229" s="303"/>
      <c r="F229" s="302"/>
      <c r="T229" s="350">
        <f t="shared" si="7"/>
        <v>0</v>
      </c>
      <c r="AB229" s="306">
        <f t="shared" si="6"/>
        <v>0</v>
      </c>
    </row>
    <row r="230" spans="1:28" ht="31.5" hidden="1" x14ac:dyDescent="0.25">
      <c r="A230" s="349" t="s">
        <v>161</v>
      </c>
      <c r="B230" s="96"/>
      <c r="C230" s="96">
        <v>5021305007</v>
      </c>
      <c r="D230" s="303"/>
      <c r="E230" s="303"/>
      <c r="F230" s="302"/>
      <c r="T230" s="350">
        <f t="shared" si="7"/>
        <v>0</v>
      </c>
      <c r="AB230" s="306">
        <f t="shared" si="6"/>
        <v>0</v>
      </c>
    </row>
    <row r="231" spans="1:28" hidden="1" x14ac:dyDescent="0.25">
      <c r="A231" s="349" t="s">
        <v>491</v>
      </c>
      <c r="B231" s="96"/>
      <c r="C231" s="96">
        <v>5021305099</v>
      </c>
      <c r="D231" s="303"/>
      <c r="E231" s="303"/>
      <c r="F231" s="302"/>
      <c r="T231" s="350">
        <f t="shared" si="7"/>
        <v>0</v>
      </c>
      <c r="AB231" s="306">
        <f t="shared" si="6"/>
        <v>0</v>
      </c>
    </row>
    <row r="232" spans="1:28" ht="31.5" hidden="1" x14ac:dyDescent="0.25">
      <c r="A232" s="349" t="s">
        <v>163</v>
      </c>
      <c r="B232" s="96"/>
      <c r="C232" s="96">
        <v>5021306001</v>
      </c>
      <c r="D232" s="303"/>
      <c r="E232" s="303"/>
      <c r="F232" s="302"/>
      <c r="T232" s="350">
        <f t="shared" si="7"/>
        <v>0</v>
      </c>
      <c r="AB232" s="306">
        <f t="shared" si="6"/>
        <v>0</v>
      </c>
    </row>
    <row r="233" spans="1:28" hidden="1" x14ac:dyDescent="0.25">
      <c r="A233" s="349" t="s">
        <v>68</v>
      </c>
      <c r="B233" s="96"/>
      <c r="C233" s="96">
        <v>5021399099</v>
      </c>
      <c r="D233" s="303"/>
      <c r="E233" s="303"/>
      <c r="F233" s="302"/>
      <c r="T233" s="350">
        <f t="shared" si="7"/>
        <v>0</v>
      </c>
      <c r="AB233" s="306">
        <f t="shared" si="6"/>
        <v>0</v>
      </c>
    </row>
    <row r="234" spans="1:28" hidden="1" x14ac:dyDescent="0.25">
      <c r="A234" s="349" t="s">
        <v>69</v>
      </c>
      <c r="B234" s="96"/>
      <c r="C234" s="96">
        <v>5029908000</v>
      </c>
      <c r="D234" s="303"/>
      <c r="E234" s="303"/>
      <c r="F234" s="302"/>
      <c r="T234" s="350">
        <f t="shared" si="7"/>
        <v>0</v>
      </c>
      <c r="AB234" s="306">
        <f t="shared" si="6"/>
        <v>0</v>
      </c>
    </row>
    <row r="235" spans="1:28" hidden="1" x14ac:dyDescent="0.25">
      <c r="A235" s="349" t="s">
        <v>164</v>
      </c>
      <c r="B235" s="96"/>
      <c r="C235" s="96">
        <v>5021402000</v>
      </c>
      <c r="D235" s="303"/>
      <c r="E235" s="303"/>
      <c r="F235" s="302"/>
      <c r="T235" s="350">
        <f t="shared" si="7"/>
        <v>0</v>
      </c>
      <c r="AB235" s="306">
        <f t="shared" si="6"/>
        <v>0</v>
      </c>
    </row>
    <row r="236" spans="1:28" hidden="1" x14ac:dyDescent="0.25">
      <c r="A236" s="349" t="s">
        <v>165</v>
      </c>
      <c r="B236" s="96"/>
      <c r="C236" s="96">
        <v>5021403000</v>
      </c>
      <c r="D236" s="303"/>
      <c r="E236" s="303"/>
      <c r="F236" s="302"/>
      <c r="T236" s="350">
        <f t="shared" si="7"/>
        <v>0</v>
      </c>
      <c r="AB236" s="306">
        <f t="shared" si="6"/>
        <v>0</v>
      </c>
    </row>
    <row r="237" spans="1:28" hidden="1" x14ac:dyDescent="0.25">
      <c r="A237" s="349" t="s">
        <v>166</v>
      </c>
      <c r="B237" s="96"/>
      <c r="C237" s="96">
        <v>5021405000</v>
      </c>
      <c r="D237" s="303"/>
      <c r="E237" s="303"/>
      <c r="F237" s="302"/>
      <c r="T237" s="350">
        <f t="shared" si="7"/>
        <v>0</v>
      </c>
      <c r="AB237" s="306">
        <f t="shared" si="6"/>
        <v>0</v>
      </c>
    </row>
    <row r="238" spans="1:28" hidden="1" x14ac:dyDescent="0.25">
      <c r="A238" s="349" t="s">
        <v>167</v>
      </c>
      <c r="B238" s="96"/>
      <c r="C238" s="96">
        <v>5021499000</v>
      </c>
      <c r="D238" s="303"/>
      <c r="E238" s="303"/>
      <c r="F238" s="302"/>
      <c r="T238" s="350">
        <f t="shared" si="7"/>
        <v>0</v>
      </c>
      <c r="AB238" s="306">
        <f t="shared" si="6"/>
        <v>0</v>
      </c>
    </row>
    <row r="239" spans="1:28" hidden="1" x14ac:dyDescent="0.25">
      <c r="A239" s="349" t="s">
        <v>533</v>
      </c>
      <c r="B239" s="96"/>
      <c r="C239" s="96">
        <v>5021407000</v>
      </c>
      <c r="D239" s="303"/>
      <c r="E239" s="303"/>
      <c r="F239" s="302"/>
      <c r="T239" s="350">
        <f t="shared" si="7"/>
        <v>0</v>
      </c>
      <c r="AB239" s="306">
        <f t="shared" si="6"/>
        <v>0</v>
      </c>
    </row>
    <row r="240" spans="1:28" hidden="1" x14ac:dyDescent="0.25">
      <c r="A240" s="349" t="s">
        <v>168</v>
      </c>
      <c r="B240" s="96"/>
      <c r="C240" s="96">
        <v>5030104000</v>
      </c>
      <c r="D240" s="303"/>
      <c r="E240" s="303"/>
      <c r="F240" s="302"/>
      <c r="T240" s="350">
        <f t="shared" si="7"/>
        <v>0</v>
      </c>
      <c r="AB240" s="306">
        <f t="shared" si="6"/>
        <v>0</v>
      </c>
    </row>
    <row r="241" spans="1:28" hidden="1" x14ac:dyDescent="0.25">
      <c r="A241" s="349" t="s">
        <v>169</v>
      </c>
      <c r="B241" s="96"/>
      <c r="C241" s="96">
        <v>5021003000</v>
      </c>
      <c r="D241" s="303"/>
      <c r="E241" s="303"/>
      <c r="F241" s="302"/>
      <c r="T241" s="350">
        <f t="shared" si="7"/>
        <v>0</v>
      </c>
      <c r="AB241" s="306">
        <f t="shared" si="6"/>
        <v>0</v>
      </c>
    </row>
    <row r="242" spans="1:28" hidden="1" x14ac:dyDescent="0.25">
      <c r="A242" s="349" t="s">
        <v>70</v>
      </c>
      <c r="B242" s="96"/>
      <c r="C242" s="96">
        <v>5021502000</v>
      </c>
      <c r="D242" s="303"/>
      <c r="E242" s="303"/>
      <c r="F242" s="302"/>
      <c r="T242" s="350">
        <f t="shared" si="7"/>
        <v>0</v>
      </c>
      <c r="AB242" s="306">
        <f t="shared" si="6"/>
        <v>0</v>
      </c>
    </row>
    <row r="243" spans="1:28" hidden="1" x14ac:dyDescent="0.25">
      <c r="A243" s="349" t="s">
        <v>71</v>
      </c>
      <c r="B243" s="96"/>
      <c r="C243" s="96">
        <v>5021503000</v>
      </c>
      <c r="D243" s="303"/>
      <c r="E243" s="303"/>
      <c r="F243" s="302"/>
      <c r="T243" s="350">
        <f t="shared" si="7"/>
        <v>0</v>
      </c>
      <c r="AB243" s="306">
        <f t="shared" si="6"/>
        <v>0</v>
      </c>
    </row>
    <row r="244" spans="1:28" hidden="1" x14ac:dyDescent="0.25">
      <c r="A244" s="349" t="s">
        <v>170</v>
      </c>
      <c r="B244" s="96"/>
      <c r="C244" s="96">
        <v>5021601000</v>
      </c>
      <c r="D244" s="303"/>
      <c r="E244" s="303"/>
      <c r="F244" s="302"/>
      <c r="T244" s="350">
        <f t="shared" si="7"/>
        <v>0</v>
      </c>
      <c r="AB244" s="306">
        <f t="shared" si="6"/>
        <v>0</v>
      </c>
    </row>
    <row r="245" spans="1:28" hidden="1" x14ac:dyDescent="0.25">
      <c r="A245" s="349" t="s">
        <v>360</v>
      </c>
      <c r="B245" s="96"/>
      <c r="C245" s="96">
        <v>5050201000</v>
      </c>
      <c r="D245" s="303"/>
      <c r="E245" s="303"/>
      <c r="F245" s="302"/>
      <c r="T245" s="350">
        <f t="shared" si="7"/>
        <v>0</v>
      </c>
      <c r="AB245" s="306">
        <f t="shared" si="6"/>
        <v>0</v>
      </c>
    </row>
    <row r="246" spans="1:28" hidden="1" x14ac:dyDescent="0.25">
      <c r="A246" s="349" t="s">
        <v>386</v>
      </c>
      <c r="B246" s="96"/>
      <c r="C246" s="96">
        <v>5050102003</v>
      </c>
      <c r="D246" s="303"/>
      <c r="E246" s="303"/>
      <c r="F246" s="302"/>
      <c r="T246" s="350">
        <f t="shared" si="7"/>
        <v>0</v>
      </c>
      <c r="AB246" s="306">
        <f t="shared" si="6"/>
        <v>0</v>
      </c>
    </row>
    <row r="247" spans="1:28" hidden="1" x14ac:dyDescent="0.25">
      <c r="A247" s="349" t="s">
        <v>419</v>
      </c>
      <c r="B247" s="96"/>
      <c r="C247" s="96">
        <v>5050108002</v>
      </c>
      <c r="D247" s="303"/>
      <c r="E247" s="303"/>
      <c r="F247" s="302"/>
      <c r="T247" s="350">
        <f t="shared" si="7"/>
        <v>0</v>
      </c>
      <c r="AB247" s="306">
        <f t="shared" si="6"/>
        <v>0</v>
      </c>
    </row>
    <row r="248" spans="1:28" hidden="1" x14ac:dyDescent="0.25">
      <c r="A248" s="349" t="s">
        <v>72</v>
      </c>
      <c r="B248" s="96"/>
      <c r="C248" s="96">
        <v>5050104001</v>
      </c>
      <c r="D248" s="303"/>
      <c r="E248" s="303"/>
      <c r="F248" s="302"/>
      <c r="T248" s="350">
        <f t="shared" si="7"/>
        <v>0</v>
      </c>
      <c r="AB248" s="306">
        <f t="shared" si="6"/>
        <v>0</v>
      </c>
    </row>
    <row r="249" spans="1:28" hidden="1" x14ac:dyDescent="0.25">
      <c r="A249" s="349" t="s">
        <v>171</v>
      </c>
      <c r="B249" s="96"/>
      <c r="C249" s="96">
        <v>5050104099</v>
      </c>
      <c r="D249" s="303"/>
      <c r="E249" s="303"/>
      <c r="F249" s="302"/>
      <c r="T249" s="350"/>
      <c r="AB249" s="306">
        <f t="shared" si="6"/>
        <v>0</v>
      </c>
    </row>
    <row r="250" spans="1:28" hidden="1" x14ac:dyDescent="0.25">
      <c r="A250" s="349" t="s">
        <v>74</v>
      </c>
      <c r="B250" s="96"/>
      <c r="C250" s="96">
        <v>5050107001</v>
      </c>
      <c r="D250" s="303"/>
      <c r="E250" s="303"/>
      <c r="F250" s="302"/>
      <c r="T250" s="350"/>
      <c r="AB250" s="306">
        <f t="shared" si="6"/>
        <v>0</v>
      </c>
    </row>
    <row r="251" spans="1:28" hidden="1" x14ac:dyDescent="0.25">
      <c r="A251" s="349" t="s">
        <v>172</v>
      </c>
      <c r="B251" s="96"/>
      <c r="C251" s="96">
        <v>5050107002</v>
      </c>
      <c r="D251" s="303"/>
      <c r="E251" s="303"/>
      <c r="F251" s="302"/>
      <c r="T251" s="350"/>
      <c r="AB251" s="306">
        <f t="shared" si="6"/>
        <v>0</v>
      </c>
    </row>
    <row r="252" spans="1:28" hidden="1" x14ac:dyDescent="0.25">
      <c r="A252" s="349" t="s">
        <v>73</v>
      </c>
      <c r="B252" s="96"/>
      <c r="C252" s="96">
        <v>5050105002</v>
      </c>
      <c r="D252" s="303"/>
      <c r="E252" s="303"/>
      <c r="F252" s="302"/>
      <c r="T252" s="350"/>
      <c r="AB252" s="306">
        <f t="shared" si="6"/>
        <v>0</v>
      </c>
    </row>
    <row r="253" spans="1:28" hidden="1" x14ac:dyDescent="0.25">
      <c r="A253" s="349" t="s">
        <v>75</v>
      </c>
      <c r="B253" s="96"/>
      <c r="C253" s="96">
        <v>5050105003</v>
      </c>
      <c r="D253" s="303"/>
      <c r="E253" s="303"/>
      <c r="F253" s="302"/>
      <c r="T253" s="350"/>
      <c r="AB253" s="306">
        <f t="shared" si="6"/>
        <v>0</v>
      </c>
    </row>
    <row r="254" spans="1:28" hidden="1" x14ac:dyDescent="0.25">
      <c r="A254" s="349" t="s">
        <v>76</v>
      </c>
      <c r="B254" s="96"/>
      <c r="C254" s="96">
        <v>5050105007</v>
      </c>
      <c r="D254" s="303"/>
      <c r="E254" s="303"/>
      <c r="F254" s="302"/>
      <c r="T254" s="350"/>
      <c r="AB254" s="306">
        <f t="shared" si="6"/>
        <v>0</v>
      </c>
    </row>
    <row r="255" spans="1:28" ht="31.5" hidden="1" x14ac:dyDescent="0.25">
      <c r="A255" s="349" t="s">
        <v>173</v>
      </c>
      <c r="B255" s="96"/>
      <c r="C255" s="96">
        <v>5050105009</v>
      </c>
      <c r="D255" s="303"/>
      <c r="E255" s="303"/>
      <c r="F255" s="302"/>
      <c r="T255" s="350"/>
      <c r="AB255" s="306">
        <f t="shared" si="6"/>
        <v>0</v>
      </c>
    </row>
    <row r="256" spans="1:28" hidden="1" x14ac:dyDescent="0.25">
      <c r="A256" s="349" t="s">
        <v>174</v>
      </c>
      <c r="B256" s="96"/>
      <c r="C256" s="96">
        <v>5050105011</v>
      </c>
      <c r="D256" s="303"/>
      <c r="E256" s="303"/>
      <c r="F256" s="302"/>
      <c r="T256" s="350"/>
      <c r="AB256" s="306">
        <f t="shared" si="6"/>
        <v>0</v>
      </c>
    </row>
    <row r="257" spans="1:28" hidden="1" x14ac:dyDescent="0.25">
      <c r="A257" s="349" t="s">
        <v>77</v>
      </c>
      <c r="B257" s="96"/>
      <c r="C257" s="96">
        <v>5050105013</v>
      </c>
      <c r="D257" s="303"/>
      <c r="E257" s="303"/>
      <c r="F257" s="302"/>
      <c r="T257" s="350"/>
      <c r="AB257" s="306">
        <f t="shared" si="6"/>
        <v>0</v>
      </c>
    </row>
    <row r="258" spans="1:28" hidden="1" x14ac:dyDescent="0.25">
      <c r="A258" s="399" t="s">
        <v>267</v>
      </c>
      <c r="B258" s="96"/>
      <c r="C258" s="96">
        <v>5050105014</v>
      </c>
      <c r="D258" s="303"/>
      <c r="E258" s="303"/>
      <c r="F258" s="302"/>
      <c r="T258" s="350"/>
      <c r="AB258" s="306">
        <f t="shared" si="6"/>
        <v>0</v>
      </c>
    </row>
    <row r="259" spans="1:28" hidden="1" x14ac:dyDescent="0.25">
      <c r="A259" s="399" t="s">
        <v>175</v>
      </c>
      <c r="B259" s="96" t="s">
        <v>94</v>
      </c>
      <c r="C259" s="96">
        <v>5050105099</v>
      </c>
      <c r="D259" s="303"/>
      <c r="E259" s="303"/>
      <c r="F259" s="302"/>
      <c r="T259" s="350"/>
      <c r="AB259" s="306">
        <f t="shared" si="6"/>
        <v>0</v>
      </c>
    </row>
    <row r="260" spans="1:28" hidden="1" x14ac:dyDescent="0.25">
      <c r="A260" s="399" t="s">
        <v>78</v>
      </c>
      <c r="B260" s="96"/>
      <c r="C260" s="96">
        <v>5050106001</v>
      </c>
      <c r="D260" s="303"/>
      <c r="E260" s="303"/>
      <c r="F260" s="302"/>
      <c r="T260" s="350"/>
      <c r="AB260" s="306">
        <f t="shared" si="6"/>
        <v>0</v>
      </c>
    </row>
    <row r="261" spans="1:28" hidden="1" x14ac:dyDescent="0.25">
      <c r="A261" s="399" t="s">
        <v>79</v>
      </c>
      <c r="B261" s="96"/>
      <c r="C261" s="96">
        <v>5050199099</v>
      </c>
      <c r="D261" s="303"/>
      <c r="E261" s="303"/>
      <c r="F261" s="302"/>
      <c r="T261" s="350"/>
      <c r="AB261" s="306">
        <f t="shared" si="6"/>
        <v>0</v>
      </c>
    </row>
    <row r="262" spans="1:28" hidden="1" x14ac:dyDescent="0.25">
      <c r="A262" s="399" t="s">
        <v>80</v>
      </c>
      <c r="B262" s="96"/>
      <c r="C262" s="96">
        <v>5029999099</v>
      </c>
      <c r="D262" s="303"/>
      <c r="E262" s="303"/>
      <c r="F262" s="302"/>
      <c r="T262" s="350"/>
      <c r="AB262" s="306">
        <f t="shared" si="6"/>
        <v>0</v>
      </c>
    </row>
    <row r="263" spans="1:28" hidden="1" x14ac:dyDescent="0.25">
      <c r="A263" s="399" t="s">
        <v>176</v>
      </c>
      <c r="B263" s="96"/>
      <c r="C263" s="96">
        <v>5050409000</v>
      </c>
      <c r="D263" s="303"/>
      <c r="E263" s="303"/>
      <c r="F263" s="302"/>
      <c r="T263" s="350"/>
      <c r="AB263" s="306">
        <f t="shared" si="6"/>
        <v>0</v>
      </c>
    </row>
    <row r="264" spans="1:28" hidden="1" x14ac:dyDescent="0.25">
      <c r="A264" s="399" t="s">
        <v>450</v>
      </c>
      <c r="B264" s="96"/>
      <c r="C264" s="96">
        <v>5050425000</v>
      </c>
      <c r="D264" s="303"/>
      <c r="E264" s="303"/>
      <c r="F264" s="302"/>
      <c r="T264" s="350"/>
      <c r="AB264" s="306">
        <f t="shared" si="6"/>
        <v>0</v>
      </c>
    </row>
    <row r="265" spans="1:28" ht="31.5" hidden="1" x14ac:dyDescent="0.25">
      <c r="A265" s="399" t="s">
        <v>457</v>
      </c>
      <c r="B265" s="96"/>
      <c r="C265" s="96">
        <v>5060405003</v>
      </c>
      <c r="D265" s="303"/>
      <c r="E265" s="303"/>
      <c r="F265" s="302"/>
      <c r="T265" s="350"/>
      <c r="AB265" s="306">
        <f t="shared" si="6"/>
        <v>0</v>
      </c>
    </row>
    <row r="266" spans="1:28" hidden="1" x14ac:dyDescent="0.25">
      <c r="A266" s="399" t="s">
        <v>370</v>
      </c>
      <c r="B266" s="96"/>
      <c r="C266" s="96">
        <v>5060401000</v>
      </c>
      <c r="D266" s="303"/>
      <c r="E266" s="303"/>
      <c r="F266" s="302"/>
      <c r="T266" s="350">
        <f t="shared" si="7"/>
        <v>0</v>
      </c>
      <c r="AB266" s="306">
        <f t="shared" si="6"/>
        <v>0</v>
      </c>
    </row>
    <row r="267" spans="1:28" hidden="1" x14ac:dyDescent="0.25">
      <c r="A267" s="399" t="s">
        <v>177</v>
      </c>
      <c r="B267" s="96"/>
      <c r="C267" s="96">
        <v>5050499000</v>
      </c>
      <c r="D267" s="303"/>
      <c r="E267" s="303"/>
      <c r="F267" s="302"/>
      <c r="T267" s="350">
        <f t="shared" si="7"/>
        <v>0</v>
      </c>
      <c r="AB267" s="306">
        <f t="shared" ref="AB267:AB268" si="8">D267+E267</f>
        <v>0</v>
      </c>
    </row>
    <row r="268" spans="1:28" hidden="1" x14ac:dyDescent="0.25">
      <c r="B268" s="401"/>
      <c r="C268" s="96"/>
      <c r="D268" s="303"/>
      <c r="E268" s="303"/>
      <c r="F268" s="302"/>
      <c r="T268" s="350">
        <f t="shared" si="7"/>
        <v>0</v>
      </c>
      <c r="AB268" s="306">
        <f t="shared" si="8"/>
        <v>0</v>
      </c>
    </row>
    <row r="269" spans="1:28" ht="16.5" thickBot="1" x14ac:dyDescent="0.3">
      <c r="C269" s="403"/>
      <c r="D269" s="304">
        <f>SUM(D10:D268)</f>
        <v>632527574.28083348</v>
      </c>
      <c r="E269" s="304">
        <f>SUM(E10:E268)</f>
        <v>632527574.28083098</v>
      </c>
      <c r="F269" s="404"/>
      <c r="G269" s="304" t="e">
        <f t="shared" ref="G269:T270" si="9">SUM(G10:G268)</f>
        <v>#REF!</v>
      </c>
      <c r="H269" s="304">
        <f t="shared" si="9"/>
        <v>0</v>
      </c>
      <c r="I269" s="304">
        <f t="shared" si="9"/>
        <v>0</v>
      </c>
      <c r="J269" s="304" t="e">
        <f t="shared" si="9"/>
        <v>#REF!</v>
      </c>
      <c r="K269" s="304">
        <f t="shared" si="9"/>
        <v>0</v>
      </c>
      <c r="L269" s="304">
        <f t="shared" si="9"/>
        <v>0</v>
      </c>
      <c r="M269" s="304">
        <f t="shared" si="9"/>
        <v>0</v>
      </c>
      <c r="N269" s="304">
        <f t="shared" si="9"/>
        <v>0</v>
      </c>
      <c r="O269" s="304">
        <f t="shared" si="9"/>
        <v>0</v>
      </c>
      <c r="P269" s="304">
        <f t="shared" si="9"/>
        <v>0</v>
      </c>
      <c r="Q269" s="304">
        <f t="shared" si="9"/>
        <v>0</v>
      </c>
      <c r="R269" s="304">
        <f t="shared" si="9"/>
        <v>0</v>
      </c>
      <c r="S269" s="304">
        <f t="shared" si="9"/>
        <v>0</v>
      </c>
      <c r="T269" s="304">
        <f t="shared" si="9"/>
        <v>1264994238.1616642</v>
      </c>
      <c r="AB269" s="306">
        <f t="shared" ref="AB269" si="10">D269+E269</f>
        <v>1265055148.5616646</v>
      </c>
    </row>
    <row r="270" spans="1:28" ht="16.5" thickTop="1" x14ac:dyDescent="0.25">
      <c r="A270" s="405" t="s">
        <v>411</v>
      </c>
      <c r="D270" s="305"/>
      <c r="E270" s="305"/>
      <c r="F270" s="305"/>
      <c r="G270" s="305" t="e">
        <f t="shared" si="9"/>
        <v>#REF!</v>
      </c>
      <c r="H270" s="305">
        <f t="shared" si="9"/>
        <v>0</v>
      </c>
      <c r="I270" s="305">
        <f t="shared" si="9"/>
        <v>0</v>
      </c>
      <c r="J270" s="305" t="e">
        <f t="shared" si="9"/>
        <v>#REF!</v>
      </c>
      <c r="K270" s="305">
        <f t="shared" si="9"/>
        <v>0</v>
      </c>
      <c r="L270" s="305">
        <f t="shared" si="9"/>
        <v>0</v>
      </c>
      <c r="M270" s="305">
        <f t="shared" si="9"/>
        <v>0</v>
      </c>
      <c r="N270" s="305">
        <f t="shared" si="9"/>
        <v>0</v>
      </c>
      <c r="O270" s="305">
        <f t="shared" si="9"/>
        <v>0</v>
      </c>
      <c r="P270" s="305">
        <f t="shared" si="9"/>
        <v>0</v>
      </c>
      <c r="Q270" s="305">
        <f t="shared" si="9"/>
        <v>0</v>
      </c>
      <c r="R270" s="305">
        <f t="shared" si="9"/>
        <v>0</v>
      </c>
      <c r="S270" s="305">
        <f t="shared" si="9"/>
        <v>0</v>
      </c>
      <c r="T270" s="305">
        <f t="shared" si="9"/>
        <v>2495539560.6433287</v>
      </c>
      <c r="AB270" s="306">
        <f>AB269/2-E269</f>
        <v>1.3113021850585938E-6</v>
      </c>
    </row>
    <row r="271" spans="1:28" x14ac:dyDescent="0.25">
      <c r="D271" s="393" t="s">
        <v>414</v>
      </c>
      <c r="E271" s="393">
        <f>D269-E269</f>
        <v>2.5033950805664063E-6</v>
      </c>
    </row>
    <row r="272" spans="1:28" x14ac:dyDescent="0.25">
      <c r="D272" s="306"/>
      <c r="E272" s="306"/>
    </row>
    <row r="273" spans="3:5" x14ac:dyDescent="0.25">
      <c r="D273" s="407" t="s">
        <v>389</v>
      </c>
      <c r="E273" s="306"/>
    </row>
    <row r="274" spans="3:5" x14ac:dyDescent="0.25">
      <c r="C274" s="408"/>
      <c r="D274" s="409" t="s">
        <v>363</v>
      </c>
      <c r="E274" s="306"/>
    </row>
  </sheetData>
  <autoFilter ref="A9:AB271">
    <filterColumn colId="27">
      <filters blank="1">
        <filter val="0.00"/>
        <filter val="1,218.35"/>
        <filter val="1,265,055,148.56"/>
        <filter val="1,319,463.77"/>
        <filter val="1,749.11"/>
        <filter val="10,020,444.93"/>
        <filter val="10,045,601.93"/>
        <filter val="11,188,319.70"/>
        <filter val="114,843,771.00"/>
        <filter val="12,437.02"/>
        <filter val="121,948,226.31"/>
        <filter val="129,000.00"/>
        <filter val="13,914,630.00"/>
        <filter val="14,857,994.04"/>
        <filter val="14,926,719.51"/>
        <filter val="150,830.55"/>
        <filter val="153,261.57"/>
        <filter val="158,769.00"/>
        <filter val="164,930.00"/>
        <filter val="170,593.95"/>
        <filter val="175,971,425.55"/>
        <filter val="2,347,153.97"/>
        <filter val="2,550,882.08"/>
        <filter val="2,737,841.90"/>
        <filter val="2,924,469.03"/>
        <filter val="20,021,445.04"/>
        <filter val="200,522.25"/>
        <filter val="210,000.00"/>
        <filter val="220,000.00"/>
        <filter val="230,490.20"/>
        <filter val="248,122.90"/>
        <filter val="25,885,038.23"/>
        <filter val="263,701.58"/>
        <filter val="274,426.34"/>
        <filter val="28,437,554.43"/>
        <filter val="3,584,100.44"/>
        <filter val="30,210.80"/>
        <filter val="30,637.50"/>
        <filter val="30,850.00"/>
        <filter val="305,078.56"/>
        <filter val="325,436.50"/>
        <filter val="34,448,915.68"/>
        <filter val="367,269.00"/>
        <filter val="37,292,530.52"/>
        <filter val="386,917,749.45"/>
        <filter val="400,810.00"/>
        <filter val="42,694,777.32"/>
        <filter val="429,462.10"/>
        <filter val="429,743.00"/>
        <filter val="444,174.78"/>
        <filter val="45,937,041.76"/>
        <filter val="46,705,026.77"/>
        <filter val="5,410,105.34"/>
        <filter val="505,843.57"/>
        <filter val="531,016.45"/>
        <filter val="55,364,115.81"/>
        <filter val="575,464.92"/>
        <filter val="6,853,257.30"/>
        <filter val="60,910.40"/>
        <filter val="699,000.00"/>
        <filter val="7,335,320.17"/>
        <filter val="7,834,252.96"/>
        <filter val="75,000.00"/>
        <filter val="79,220.00"/>
        <filter val="79,976.34"/>
        <filter val="801,868.97"/>
        <filter val="947,497.91"/>
        <filter val="997,450.00"/>
      </filters>
    </filterColumn>
  </autoFilter>
  <mergeCells count="6">
    <mergeCell ref="A7:A8"/>
    <mergeCell ref="A1:E1"/>
    <mergeCell ref="A2:E2"/>
    <mergeCell ref="A3:E3"/>
    <mergeCell ref="A4:E4"/>
    <mergeCell ref="A5:E5"/>
  </mergeCells>
  <printOptions horizontalCentered="1"/>
  <pageMargins left="0.70866141732283472" right="0.70866141732283472" top="0.51181102362204722" bottom="0.51181102362204722" header="0.31496062992125984" footer="0.31496062992125984"/>
  <pageSetup paperSize="9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48"/>
  <sheetViews>
    <sheetView view="pageBreakPreview" topLeftCell="B1" zoomScaleNormal="100" zoomScaleSheetLayoutView="100" workbookViewId="0">
      <pane ySplit="8" topLeftCell="A207" activePane="bottomLeft" state="frozen"/>
      <selection activeCell="N15" sqref="N15"/>
      <selection pane="bottomLeft" activeCell="M238" sqref="M238"/>
    </sheetView>
  </sheetViews>
  <sheetFormatPr defaultRowHeight="12.75" x14ac:dyDescent="0.2"/>
  <cols>
    <col min="1" max="1" width="3.7109375" style="205" hidden="1" customWidth="1"/>
    <col min="2" max="2" width="3.7109375" style="205" customWidth="1"/>
    <col min="3" max="3" width="1.85546875" style="201" customWidth="1"/>
    <col min="4" max="4" width="39.42578125" style="202" customWidth="1"/>
    <col min="5" max="5" width="10.7109375" style="446" customWidth="1"/>
    <col min="6" max="6" width="2.85546875" style="202" customWidth="1"/>
    <col min="7" max="7" width="5.85546875" style="450" customWidth="1"/>
    <col min="8" max="8" width="2.140625" style="448" customWidth="1"/>
    <col min="9" max="11" width="30.7109375" style="203" customWidth="1"/>
    <col min="12" max="12" width="3.140625" style="204" hidden="1" customWidth="1"/>
    <col min="13" max="13" width="21.140625" style="265" customWidth="1"/>
    <col min="14" max="14" width="20" style="198" customWidth="1"/>
    <col min="15" max="15" width="16.42578125" style="198" hidden="1" customWidth="1"/>
    <col min="16" max="16" width="18.42578125" style="198" hidden="1" customWidth="1"/>
    <col min="17" max="17" width="18.42578125" style="199" hidden="1" customWidth="1"/>
    <col min="18" max="18" width="15.28515625" style="199" hidden="1" customWidth="1"/>
    <col min="19" max="19" width="18" style="199" hidden="1" customWidth="1"/>
    <col min="20" max="20" width="16" style="199" hidden="1" customWidth="1"/>
    <col min="21" max="21" width="15.140625" style="199" hidden="1" customWidth="1"/>
    <col min="22" max="22" width="13.42578125" style="198" hidden="1" customWidth="1"/>
    <col min="23" max="30" width="9.140625" style="199" hidden="1" customWidth="1"/>
    <col min="31" max="31" width="21" style="198" hidden="1" customWidth="1"/>
    <col min="32" max="32" width="25.5703125" style="198" customWidth="1"/>
    <col min="33" max="33" width="15" style="199" customWidth="1"/>
    <col min="34" max="35" width="14" style="199" bestFit="1" customWidth="1"/>
    <col min="36" max="36" width="11.28515625" style="199" bestFit="1" customWidth="1"/>
    <col min="37" max="252" width="9.140625" style="199"/>
    <col min="253" max="253" width="5.140625" style="199" customWidth="1"/>
    <col min="254" max="254" width="3.42578125" style="199" customWidth="1"/>
    <col min="255" max="255" width="38.5703125" style="199" bestFit="1" customWidth="1"/>
    <col min="256" max="256" width="1.85546875" style="199" customWidth="1"/>
    <col min="257" max="257" width="2.42578125" style="199" customWidth="1"/>
    <col min="258" max="258" width="13.5703125" style="199" bestFit="1" customWidth="1"/>
    <col min="259" max="259" width="2.140625" style="199" bestFit="1" customWidth="1"/>
    <col min="260" max="260" width="14.5703125" style="199" bestFit="1" customWidth="1"/>
    <col min="261" max="261" width="2.5703125" style="199" customWidth="1"/>
    <col min="262" max="262" width="3.28515625" style="199" bestFit="1" customWidth="1"/>
    <col min="263" max="263" width="16" style="199" bestFit="1" customWidth="1"/>
    <col min="264" max="264" width="14.5703125" style="199" bestFit="1" customWidth="1"/>
    <col min="265" max="508" width="9.140625" style="199"/>
    <col min="509" max="509" width="5.140625" style="199" customWidth="1"/>
    <col min="510" max="510" width="3.42578125" style="199" customWidth="1"/>
    <col min="511" max="511" width="38.5703125" style="199" bestFit="1" customWidth="1"/>
    <col min="512" max="512" width="1.85546875" style="199" customWidth="1"/>
    <col min="513" max="513" width="2.42578125" style="199" customWidth="1"/>
    <col min="514" max="514" width="13.5703125" style="199" bestFit="1" customWidth="1"/>
    <col min="515" max="515" width="2.140625" style="199" bestFit="1" customWidth="1"/>
    <col min="516" max="516" width="14.5703125" style="199" bestFit="1" customWidth="1"/>
    <col min="517" max="517" width="2.5703125" style="199" customWidth="1"/>
    <col min="518" max="518" width="3.28515625" style="199" bestFit="1" customWidth="1"/>
    <col min="519" max="519" width="16" style="199" bestFit="1" customWidth="1"/>
    <col min="520" max="520" width="14.5703125" style="199" bestFit="1" customWidth="1"/>
    <col min="521" max="764" width="9.140625" style="199"/>
    <col min="765" max="765" width="5.140625" style="199" customWidth="1"/>
    <col min="766" max="766" width="3.42578125" style="199" customWidth="1"/>
    <col min="767" max="767" width="38.5703125" style="199" bestFit="1" customWidth="1"/>
    <col min="768" max="768" width="1.85546875" style="199" customWidth="1"/>
    <col min="769" max="769" width="2.42578125" style="199" customWidth="1"/>
    <col min="770" max="770" width="13.5703125" style="199" bestFit="1" customWidth="1"/>
    <col min="771" max="771" width="2.140625" style="199" bestFit="1" customWidth="1"/>
    <col min="772" max="772" width="14.5703125" style="199" bestFit="1" customWidth="1"/>
    <col min="773" max="773" width="2.5703125" style="199" customWidth="1"/>
    <col min="774" max="774" width="3.28515625" style="199" bestFit="1" customWidth="1"/>
    <col min="775" max="775" width="16" style="199" bestFit="1" customWidth="1"/>
    <col min="776" max="776" width="14.5703125" style="199" bestFit="1" customWidth="1"/>
    <col min="777" max="1020" width="9.140625" style="199"/>
    <col min="1021" max="1021" width="5.140625" style="199" customWidth="1"/>
    <col min="1022" max="1022" width="3.42578125" style="199" customWidth="1"/>
    <col min="1023" max="1023" width="38.5703125" style="199" bestFit="1" customWidth="1"/>
    <col min="1024" max="1024" width="1.85546875" style="199" customWidth="1"/>
    <col min="1025" max="1025" width="2.42578125" style="199" customWidth="1"/>
    <col min="1026" max="1026" width="13.5703125" style="199" bestFit="1" customWidth="1"/>
    <col min="1027" max="1027" width="2.140625" style="199" bestFit="1" customWidth="1"/>
    <col min="1028" max="1028" width="14.5703125" style="199" bestFit="1" customWidth="1"/>
    <col min="1029" max="1029" width="2.5703125" style="199" customWidth="1"/>
    <col min="1030" max="1030" width="3.28515625" style="199" bestFit="1" customWidth="1"/>
    <col min="1031" max="1031" width="16" style="199" bestFit="1" customWidth="1"/>
    <col min="1032" max="1032" width="14.5703125" style="199" bestFit="1" customWidth="1"/>
    <col min="1033" max="1276" width="9.140625" style="199"/>
    <col min="1277" max="1277" width="5.140625" style="199" customWidth="1"/>
    <col min="1278" max="1278" width="3.42578125" style="199" customWidth="1"/>
    <col min="1279" max="1279" width="38.5703125" style="199" bestFit="1" customWidth="1"/>
    <col min="1280" max="1280" width="1.85546875" style="199" customWidth="1"/>
    <col min="1281" max="1281" width="2.42578125" style="199" customWidth="1"/>
    <col min="1282" max="1282" width="13.5703125" style="199" bestFit="1" customWidth="1"/>
    <col min="1283" max="1283" width="2.140625" style="199" bestFit="1" customWidth="1"/>
    <col min="1284" max="1284" width="14.5703125" style="199" bestFit="1" customWidth="1"/>
    <col min="1285" max="1285" width="2.5703125" style="199" customWidth="1"/>
    <col min="1286" max="1286" width="3.28515625" style="199" bestFit="1" customWidth="1"/>
    <col min="1287" max="1287" width="16" style="199" bestFit="1" customWidth="1"/>
    <col min="1288" max="1288" width="14.5703125" style="199" bestFit="1" customWidth="1"/>
    <col min="1289" max="1532" width="9.140625" style="199"/>
    <col min="1533" max="1533" width="5.140625" style="199" customWidth="1"/>
    <col min="1534" max="1534" width="3.42578125" style="199" customWidth="1"/>
    <col min="1535" max="1535" width="38.5703125" style="199" bestFit="1" customWidth="1"/>
    <col min="1536" max="1536" width="1.85546875" style="199" customWidth="1"/>
    <col min="1537" max="1537" width="2.42578125" style="199" customWidth="1"/>
    <col min="1538" max="1538" width="13.5703125" style="199" bestFit="1" customWidth="1"/>
    <col min="1539" max="1539" width="2.140625" style="199" bestFit="1" customWidth="1"/>
    <col min="1540" max="1540" width="14.5703125" style="199" bestFit="1" customWidth="1"/>
    <col min="1541" max="1541" width="2.5703125" style="199" customWidth="1"/>
    <col min="1542" max="1542" width="3.28515625" style="199" bestFit="1" customWidth="1"/>
    <col min="1543" max="1543" width="16" style="199" bestFit="1" customWidth="1"/>
    <col min="1544" max="1544" width="14.5703125" style="199" bestFit="1" customWidth="1"/>
    <col min="1545" max="1788" width="9.140625" style="199"/>
    <col min="1789" max="1789" width="5.140625" style="199" customWidth="1"/>
    <col min="1790" max="1790" width="3.42578125" style="199" customWidth="1"/>
    <col min="1791" max="1791" width="38.5703125" style="199" bestFit="1" customWidth="1"/>
    <col min="1792" max="1792" width="1.85546875" style="199" customWidth="1"/>
    <col min="1793" max="1793" width="2.42578125" style="199" customWidth="1"/>
    <col min="1794" max="1794" width="13.5703125" style="199" bestFit="1" customWidth="1"/>
    <col min="1795" max="1795" width="2.140625" style="199" bestFit="1" customWidth="1"/>
    <col min="1796" max="1796" width="14.5703125" style="199" bestFit="1" customWidth="1"/>
    <col min="1797" max="1797" width="2.5703125" style="199" customWidth="1"/>
    <col min="1798" max="1798" width="3.28515625" style="199" bestFit="1" customWidth="1"/>
    <col min="1799" max="1799" width="16" style="199" bestFit="1" customWidth="1"/>
    <col min="1800" max="1800" width="14.5703125" style="199" bestFit="1" customWidth="1"/>
    <col min="1801" max="2044" width="9.140625" style="199"/>
    <col min="2045" max="2045" width="5.140625" style="199" customWidth="1"/>
    <col min="2046" max="2046" width="3.42578125" style="199" customWidth="1"/>
    <col min="2047" max="2047" width="38.5703125" style="199" bestFit="1" customWidth="1"/>
    <col min="2048" max="2048" width="1.85546875" style="199" customWidth="1"/>
    <col min="2049" max="2049" width="2.42578125" style="199" customWidth="1"/>
    <col min="2050" max="2050" width="13.5703125" style="199" bestFit="1" customWidth="1"/>
    <col min="2051" max="2051" width="2.140625" style="199" bestFit="1" customWidth="1"/>
    <col min="2052" max="2052" width="14.5703125" style="199" bestFit="1" customWidth="1"/>
    <col min="2053" max="2053" width="2.5703125" style="199" customWidth="1"/>
    <col min="2054" max="2054" width="3.28515625" style="199" bestFit="1" customWidth="1"/>
    <col min="2055" max="2055" width="16" style="199" bestFit="1" customWidth="1"/>
    <col min="2056" max="2056" width="14.5703125" style="199" bestFit="1" customWidth="1"/>
    <col min="2057" max="2300" width="9.140625" style="199"/>
    <col min="2301" max="2301" width="5.140625" style="199" customWidth="1"/>
    <col min="2302" max="2302" width="3.42578125" style="199" customWidth="1"/>
    <col min="2303" max="2303" width="38.5703125" style="199" bestFit="1" customWidth="1"/>
    <col min="2304" max="2304" width="1.85546875" style="199" customWidth="1"/>
    <col min="2305" max="2305" width="2.42578125" style="199" customWidth="1"/>
    <col min="2306" max="2306" width="13.5703125" style="199" bestFit="1" customWidth="1"/>
    <col min="2307" max="2307" width="2.140625" style="199" bestFit="1" customWidth="1"/>
    <col min="2308" max="2308" width="14.5703125" style="199" bestFit="1" customWidth="1"/>
    <col min="2309" max="2309" width="2.5703125" style="199" customWidth="1"/>
    <col min="2310" max="2310" width="3.28515625" style="199" bestFit="1" customWidth="1"/>
    <col min="2311" max="2311" width="16" style="199" bestFit="1" customWidth="1"/>
    <col min="2312" max="2312" width="14.5703125" style="199" bestFit="1" customWidth="1"/>
    <col min="2313" max="2556" width="9.140625" style="199"/>
    <col min="2557" max="2557" width="5.140625" style="199" customWidth="1"/>
    <col min="2558" max="2558" width="3.42578125" style="199" customWidth="1"/>
    <col min="2559" max="2559" width="38.5703125" style="199" bestFit="1" customWidth="1"/>
    <col min="2560" max="2560" width="1.85546875" style="199" customWidth="1"/>
    <col min="2561" max="2561" width="2.42578125" style="199" customWidth="1"/>
    <col min="2562" max="2562" width="13.5703125" style="199" bestFit="1" customWidth="1"/>
    <col min="2563" max="2563" width="2.140625" style="199" bestFit="1" customWidth="1"/>
    <col min="2564" max="2564" width="14.5703125" style="199" bestFit="1" customWidth="1"/>
    <col min="2565" max="2565" width="2.5703125" style="199" customWidth="1"/>
    <col min="2566" max="2566" width="3.28515625" style="199" bestFit="1" customWidth="1"/>
    <col min="2567" max="2567" width="16" style="199" bestFit="1" customWidth="1"/>
    <col min="2568" max="2568" width="14.5703125" style="199" bestFit="1" customWidth="1"/>
    <col min="2569" max="2812" width="9.140625" style="199"/>
    <col min="2813" max="2813" width="5.140625" style="199" customWidth="1"/>
    <col min="2814" max="2814" width="3.42578125" style="199" customWidth="1"/>
    <col min="2815" max="2815" width="38.5703125" style="199" bestFit="1" customWidth="1"/>
    <col min="2816" max="2816" width="1.85546875" style="199" customWidth="1"/>
    <col min="2817" max="2817" width="2.42578125" style="199" customWidth="1"/>
    <col min="2818" max="2818" width="13.5703125" style="199" bestFit="1" customWidth="1"/>
    <col min="2819" max="2819" width="2.140625" style="199" bestFit="1" customWidth="1"/>
    <col min="2820" max="2820" width="14.5703125" style="199" bestFit="1" customWidth="1"/>
    <col min="2821" max="2821" width="2.5703125" style="199" customWidth="1"/>
    <col min="2822" max="2822" width="3.28515625" style="199" bestFit="1" customWidth="1"/>
    <col min="2823" max="2823" width="16" style="199" bestFit="1" customWidth="1"/>
    <col min="2824" max="2824" width="14.5703125" style="199" bestFit="1" customWidth="1"/>
    <col min="2825" max="3068" width="9.140625" style="199"/>
    <col min="3069" max="3069" width="5.140625" style="199" customWidth="1"/>
    <col min="3070" max="3070" width="3.42578125" style="199" customWidth="1"/>
    <col min="3071" max="3071" width="38.5703125" style="199" bestFit="1" customWidth="1"/>
    <col min="3072" max="3072" width="1.85546875" style="199" customWidth="1"/>
    <col min="3073" max="3073" width="2.42578125" style="199" customWidth="1"/>
    <col min="3074" max="3074" width="13.5703125" style="199" bestFit="1" customWidth="1"/>
    <col min="3075" max="3075" width="2.140625" style="199" bestFit="1" customWidth="1"/>
    <col min="3076" max="3076" width="14.5703125" style="199" bestFit="1" customWidth="1"/>
    <col min="3077" max="3077" width="2.5703125" style="199" customWidth="1"/>
    <col min="3078" max="3078" width="3.28515625" style="199" bestFit="1" customWidth="1"/>
    <col min="3079" max="3079" width="16" style="199" bestFit="1" customWidth="1"/>
    <col min="3080" max="3080" width="14.5703125" style="199" bestFit="1" customWidth="1"/>
    <col min="3081" max="3324" width="9.140625" style="199"/>
    <col min="3325" max="3325" width="5.140625" style="199" customWidth="1"/>
    <col min="3326" max="3326" width="3.42578125" style="199" customWidth="1"/>
    <col min="3327" max="3327" width="38.5703125" style="199" bestFit="1" customWidth="1"/>
    <col min="3328" max="3328" width="1.85546875" style="199" customWidth="1"/>
    <col min="3329" max="3329" width="2.42578125" style="199" customWidth="1"/>
    <col min="3330" max="3330" width="13.5703125" style="199" bestFit="1" customWidth="1"/>
    <col min="3331" max="3331" width="2.140625" style="199" bestFit="1" customWidth="1"/>
    <col min="3332" max="3332" width="14.5703125" style="199" bestFit="1" customWidth="1"/>
    <col min="3333" max="3333" width="2.5703125" style="199" customWidth="1"/>
    <col min="3334" max="3334" width="3.28515625" style="199" bestFit="1" customWidth="1"/>
    <col min="3335" max="3335" width="16" style="199" bestFit="1" customWidth="1"/>
    <col min="3336" max="3336" width="14.5703125" style="199" bestFit="1" customWidth="1"/>
    <col min="3337" max="3580" width="9.140625" style="199"/>
    <col min="3581" max="3581" width="5.140625" style="199" customWidth="1"/>
    <col min="3582" max="3582" width="3.42578125" style="199" customWidth="1"/>
    <col min="3583" max="3583" width="38.5703125" style="199" bestFit="1" customWidth="1"/>
    <col min="3584" max="3584" width="1.85546875" style="199" customWidth="1"/>
    <col min="3585" max="3585" width="2.42578125" style="199" customWidth="1"/>
    <col min="3586" max="3586" width="13.5703125" style="199" bestFit="1" customWidth="1"/>
    <col min="3587" max="3587" width="2.140625" style="199" bestFit="1" customWidth="1"/>
    <col min="3588" max="3588" width="14.5703125" style="199" bestFit="1" customWidth="1"/>
    <col min="3589" max="3589" width="2.5703125" style="199" customWidth="1"/>
    <col min="3590" max="3590" width="3.28515625" style="199" bestFit="1" customWidth="1"/>
    <col min="3591" max="3591" width="16" style="199" bestFit="1" customWidth="1"/>
    <col min="3592" max="3592" width="14.5703125" style="199" bestFit="1" customWidth="1"/>
    <col min="3593" max="3836" width="9.140625" style="199"/>
    <col min="3837" max="3837" width="5.140625" style="199" customWidth="1"/>
    <col min="3838" max="3838" width="3.42578125" style="199" customWidth="1"/>
    <col min="3839" max="3839" width="38.5703125" style="199" bestFit="1" customWidth="1"/>
    <col min="3840" max="3840" width="1.85546875" style="199" customWidth="1"/>
    <col min="3841" max="3841" width="2.42578125" style="199" customWidth="1"/>
    <col min="3842" max="3842" width="13.5703125" style="199" bestFit="1" customWidth="1"/>
    <col min="3843" max="3843" width="2.140625" style="199" bestFit="1" customWidth="1"/>
    <col min="3844" max="3844" width="14.5703125" style="199" bestFit="1" customWidth="1"/>
    <col min="3845" max="3845" width="2.5703125" style="199" customWidth="1"/>
    <col min="3846" max="3846" width="3.28515625" style="199" bestFit="1" customWidth="1"/>
    <col min="3847" max="3847" width="16" style="199" bestFit="1" customWidth="1"/>
    <col min="3848" max="3848" width="14.5703125" style="199" bestFit="1" customWidth="1"/>
    <col min="3849" max="4092" width="9.140625" style="199"/>
    <col min="4093" max="4093" width="5.140625" style="199" customWidth="1"/>
    <col min="4094" max="4094" width="3.42578125" style="199" customWidth="1"/>
    <col min="4095" max="4095" width="38.5703125" style="199" bestFit="1" customWidth="1"/>
    <col min="4096" max="4096" width="1.85546875" style="199" customWidth="1"/>
    <col min="4097" max="4097" width="2.42578125" style="199" customWidth="1"/>
    <col min="4098" max="4098" width="13.5703125" style="199" bestFit="1" customWidth="1"/>
    <col min="4099" max="4099" width="2.140625" style="199" bestFit="1" customWidth="1"/>
    <col min="4100" max="4100" width="14.5703125" style="199" bestFit="1" customWidth="1"/>
    <col min="4101" max="4101" width="2.5703125" style="199" customWidth="1"/>
    <col min="4102" max="4102" width="3.28515625" style="199" bestFit="1" customWidth="1"/>
    <col min="4103" max="4103" width="16" style="199" bestFit="1" customWidth="1"/>
    <col min="4104" max="4104" width="14.5703125" style="199" bestFit="1" customWidth="1"/>
    <col min="4105" max="4348" width="9.140625" style="199"/>
    <col min="4349" max="4349" width="5.140625" style="199" customWidth="1"/>
    <col min="4350" max="4350" width="3.42578125" style="199" customWidth="1"/>
    <col min="4351" max="4351" width="38.5703125" style="199" bestFit="1" customWidth="1"/>
    <col min="4352" max="4352" width="1.85546875" style="199" customWidth="1"/>
    <col min="4353" max="4353" width="2.42578125" style="199" customWidth="1"/>
    <col min="4354" max="4354" width="13.5703125" style="199" bestFit="1" customWidth="1"/>
    <col min="4355" max="4355" width="2.140625" style="199" bestFit="1" customWidth="1"/>
    <col min="4356" max="4356" width="14.5703125" style="199" bestFit="1" customWidth="1"/>
    <col min="4357" max="4357" width="2.5703125" style="199" customWidth="1"/>
    <col min="4358" max="4358" width="3.28515625" style="199" bestFit="1" customWidth="1"/>
    <col min="4359" max="4359" width="16" style="199" bestFit="1" customWidth="1"/>
    <col min="4360" max="4360" width="14.5703125" style="199" bestFit="1" customWidth="1"/>
    <col min="4361" max="4604" width="9.140625" style="199"/>
    <col min="4605" max="4605" width="5.140625" style="199" customWidth="1"/>
    <col min="4606" max="4606" width="3.42578125" style="199" customWidth="1"/>
    <col min="4607" max="4607" width="38.5703125" style="199" bestFit="1" customWidth="1"/>
    <col min="4608" max="4608" width="1.85546875" style="199" customWidth="1"/>
    <col min="4609" max="4609" width="2.42578125" style="199" customWidth="1"/>
    <col min="4610" max="4610" width="13.5703125" style="199" bestFit="1" customWidth="1"/>
    <col min="4611" max="4611" width="2.140625" style="199" bestFit="1" customWidth="1"/>
    <col min="4612" max="4612" width="14.5703125" style="199" bestFit="1" customWidth="1"/>
    <col min="4613" max="4613" width="2.5703125" style="199" customWidth="1"/>
    <col min="4614" max="4614" width="3.28515625" style="199" bestFit="1" customWidth="1"/>
    <col min="4615" max="4615" width="16" style="199" bestFit="1" customWidth="1"/>
    <col min="4616" max="4616" width="14.5703125" style="199" bestFit="1" customWidth="1"/>
    <col min="4617" max="4860" width="9.140625" style="199"/>
    <col min="4861" max="4861" width="5.140625" style="199" customWidth="1"/>
    <col min="4862" max="4862" width="3.42578125" style="199" customWidth="1"/>
    <col min="4863" max="4863" width="38.5703125" style="199" bestFit="1" customWidth="1"/>
    <col min="4864" max="4864" width="1.85546875" style="199" customWidth="1"/>
    <col min="4865" max="4865" width="2.42578125" style="199" customWidth="1"/>
    <col min="4866" max="4866" width="13.5703125" style="199" bestFit="1" customWidth="1"/>
    <col min="4867" max="4867" width="2.140625" style="199" bestFit="1" customWidth="1"/>
    <col min="4868" max="4868" width="14.5703125" style="199" bestFit="1" customWidth="1"/>
    <col min="4869" max="4869" width="2.5703125" style="199" customWidth="1"/>
    <col min="4870" max="4870" width="3.28515625" style="199" bestFit="1" customWidth="1"/>
    <col min="4871" max="4871" width="16" style="199" bestFit="1" customWidth="1"/>
    <col min="4872" max="4872" width="14.5703125" style="199" bestFit="1" customWidth="1"/>
    <col min="4873" max="5116" width="9.140625" style="199"/>
    <col min="5117" max="5117" width="5.140625" style="199" customWidth="1"/>
    <col min="5118" max="5118" width="3.42578125" style="199" customWidth="1"/>
    <col min="5119" max="5119" width="38.5703125" style="199" bestFit="1" customWidth="1"/>
    <col min="5120" max="5120" width="1.85546875" style="199" customWidth="1"/>
    <col min="5121" max="5121" width="2.42578125" style="199" customWidth="1"/>
    <col min="5122" max="5122" width="13.5703125" style="199" bestFit="1" customWidth="1"/>
    <col min="5123" max="5123" width="2.140625" style="199" bestFit="1" customWidth="1"/>
    <col min="5124" max="5124" width="14.5703125" style="199" bestFit="1" customWidth="1"/>
    <col min="5125" max="5125" width="2.5703125" style="199" customWidth="1"/>
    <col min="5126" max="5126" width="3.28515625" style="199" bestFit="1" customWidth="1"/>
    <col min="5127" max="5127" width="16" style="199" bestFit="1" customWidth="1"/>
    <col min="5128" max="5128" width="14.5703125" style="199" bestFit="1" customWidth="1"/>
    <col min="5129" max="5372" width="9.140625" style="199"/>
    <col min="5373" max="5373" width="5.140625" style="199" customWidth="1"/>
    <col min="5374" max="5374" width="3.42578125" style="199" customWidth="1"/>
    <col min="5375" max="5375" width="38.5703125" style="199" bestFit="1" customWidth="1"/>
    <col min="5376" max="5376" width="1.85546875" style="199" customWidth="1"/>
    <col min="5377" max="5377" width="2.42578125" style="199" customWidth="1"/>
    <col min="5378" max="5378" width="13.5703125" style="199" bestFit="1" customWidth="1"/>
    <col min="5379" max="5379" width="2.140625" style="199" bestFit="1" customWidth="1"/>
    <col min="5380" max="5380" width="14.5703125" style="199" bestFit="1" customWidth="1"/>
    <col min="5381" max="5381" width="2.5703125" style="199" customWidth="1"/>
    <col min="5382" max="5382" width="3.28515625" style="199" bestFit="1" customWidth="1"/>
    <col min="5383" max="5383" width="16" style="199" bestFit="1" customWidth="1"/>
    <col min="5384" max="5384" width="14.5703125" style="199" bestFit="1" customWidth="1"/>
    <col min="5385" max="5628" width="9.140625" style="199"/>
    <col min="5629" max="5629" width="5.140625" style="199" customWidth="1"/>
    <col min="5630" max="5630" width="3.42578125" style="199" customWidth="1"/>
    <col min="5631" max="5631" width="38.5703125" style="199" bestFit="1" customWidth="1"/>
    <col min="5632" max="5632" width="1.85546875" style="199" customWidth="1"/>
    <col min="5633" max="5633" width="2.42578125" style="199" customWidth="1"/>
    <col min="5634" max="5634" width="13.5703125" style="199" bestFit="1" customWidth="1"/>
    <col min="5635" max="5635" width="2.140625" style="199" bestFit="1" customWidth="1"/>
    <col min="5636" max="5636" width="14.5703125" style="199" bestFit="1" customWidth="1"/>
    <col min="5637" max="5637" width="2.5703125" style="199" customWidth="1"/>
    <col min="5638" max="5638" width="3.28515625" style="199" bestFit="1" customWidth="1"/>
    <col min="5639" max="5639" width="16" style="199" bestFit="1" customWidth="1"/>
    <col min="5640" max="5640" width="14.5703125" style="199" bestFit="1" customWidth="1"/>
    <col min="5641" max="5884" width="9.140625" style="199"/>
    <col min="5885" max="5885" width="5.140625" style="199" customWidth="1"/>
    <col min="5886" max="5886" width="3.42578125" style="199" customWidth="1"/>
    <col min="5887" max="5887" width="38.5703125" style="199" bestFit="1" customWidth="1"/>
    <col min="5888" max="5888" width="1.85546875" style="199" customWidth="1"/>
    <col min="5889" max="5889" width="2.42578125" style="199" customWidth="1"/>
    <col min="5890" max="5890" width="13.5703125" style="199" bestFit="1" customWidth="1"/>
    <col min="5891" max="5891" width="2.140625" style="199" bestFit="1" customWidth="1"/>
    <col min="5892" max="5892" width="14.5703125" style="199" bestFit="1" customWidth="1"/>
    <col min="5893" max="5893" width="2.5703125" style="199" customWidth="1"/>
    <col min="5894" max="5894" width="3.28515625" style="199" bestFit="1" customWidth="1"/>
    <col min="5895" max="5895" width="16" style="199" bestFit="1" customWidth="1"/>
    <col min="5896" max="5896" width="14.5703125" style="199" bestFit="1" customWidth="1"/>
    <col min="5897" max="6140" width="9.140625" style="199"/>
    <col min="6141" max="6141" width="5.140625" style="199" customWidth="1"/>
    <col min="6142" max="6142" width="3.42578125" style="199" customWidth="1"/>
    <col min="6143" max="6143" width="38.5703125" style="199" bestFit="1" customWidth="1"/>
    <col min="6144" max="6144" width="1.85546875" style="199" customWidth="1"/>
    <col min="6145" max="6145" width="2.42578125" style="199" customWidth="1"/>
    <col min="6146" max="6146" width="13.5703125" style="199" bestFit="1" customWidth="1"/>
    <col min="6147" max="6147" width="2.140625" style="199" bestFit="1" customWidth="1"/>
    <col min="6148" max="6148" width="14.5703125" style="199" bestFit="1" customWidth="1"/>
    <col min="6149" max="6149" width="2.5703125" style="199" customWidth="1"/>
    <col min="6150" max="6150" width="3.28515625" style="199" bestFit="1" customWidth="1"/>
    <col min="6151" max="6151" width="16" style="199" bestFit="1" customWidth="1"/>
    <col min="6152" max="6152" width="14.5703125" style="199" bestFit="1" customWidth="1"/>
    <col min="6153" max="6396" width="9.140625" style="199"/>
    <col min="6397" max="6397" width="5.140625" style="199" customWidth="1"/>
    <col min="6398" max="6398" width="3.42578125" style="199" customWidth="1"/>
    <col min="6399" max="6399" width="38.5703125" style="199" bestFit="1" customWidth="1"/>
    <col min="6400" max="6400" width="1.85546875" style="199" customWidth="1"/>
    <col min="6401" max="6401" width="2.42578125" style="199" customWidth="1"/>
    <col min="6402" max="6402" width="13.5703125" style="199" bestFit="1" customWidth="1"/>
    <col min="6403" max="6403" width="2.140625" style="199" bestFit="1" customWidth="1"/>
    <col min="6404" max="6404" width="14.5703125" style="199" bestFit="1" customWidth="1"/>
    <col min="6405" max="6405" width="2.5703125" style="199" customWidth="1"/>
    <col min="6406" max="6406" width="3.28515625" style="199" bestFit="1" customWidth="1"/>
    <col min="6407" max="6407" width="16" style="199" bestFit="1" customWidth="1"/>
    <col min="6408" max="6408" width="14.5703125" style="199" bestFit="1" customWidth="1"/>
    <col min="6409" max="6652" width="9.140625" style="199"/>
    <col min="6653" max="6653" width="5.140625" style="199" customWidth="1"/>
    <col min="6654" max="6654" width="3.42578125" style="199" customWidth="1"/>
    <col min="6655" max="6655" width="38.5703125" style="199" bestFit="1" customWidth="1"/>
    <col min="6656" max="6656" width="1.85546875" style="199" customWidth="1"/>
    <col min="6657" max="6657" width="2.42578125" style="199" customWidth="1"/>
    <col min="6658" max="6658" width="13.5703125" style="199" bestFit="1" customWidth="1"/>
    <col min="6659" max="6659" width="2.140625" style="199" bestFit="1" customWidth="1"/>
    <col min="6660" max="6660" width="14.5703125" style="199" bestFit="1" customWidth="1"/>
    <col min="6661" max="6661" width="2.5703125" style="199" customWidth="1"/>
    <col min="6662" max="6662" width="3.28515625" style="199" bestFit="1" customWidth="1"/>
    <col min="6663" max="6663" width="16" style="199" bestFit="1" customWidth="1"/>
    <col min="6664" max="6664" width="14.5703125" style="199" bestFit="1" customWidth="1"/>
    <col min="6665" max="6908" width="9.140625" style="199"/>
    <col min="6909" max="6909" width="5.140625" style="199" customWidth="1"/>
    <col min="6910" max="6910" width="3.42578125" style="199" customWidth="1"/>
    <col min="6911" max="6911" width="38.5703125" style="199" bestFit="1" customWidth="1"/>
    <col min="6912" max="6912" width="1.85546875" style="199" customWidth="1"/>
    <col min="6913" max="6913" width="2.42578125" style="199" customWidth="1"/>
    <col min="6914" max="6914" width="13.5703125" style="199" bestFit="1" customWidth="1"/>
    <col min="6915" max="6915" width="2.140625" style="199" bestFit="1" customWidth="1"/>
    <col min="6916" max="6916" width="14.5703125" style="199" bestFit="1" customWidth="1"/>
    <col min="6917" max="6917" width="2.5703125" style="199" customWidth="1"/>
    <col min="6918" max="6918" width="3.28515625" style="199" bestFit="1" customWidth="1"/>
    <col min="6919" max="6919" width="16" style="199" bestFit="1" customWidth="1"/>
    <col min="6920" max="6920" width="14.5703125" style="199" bestFit="1" customWidth="1"/>
    <col min="6921" max="7164" width="9.140625" style="199"/>
    <col min="7165" max="7165" width="5.140625" style="199" customWidth="1"/>
    <col min="7166" max="7166" width="3.42578125" style="199" customWidth="1"/>
    <col min="7167" max="7167" width="38.5703125" style="199" bestFit="1" customWidth="1"/>
    <col min="7168" max="7168" width="1.85546875" style="199" customWidth="1"/>
    <col min="7169" max="7169" width="2.42578125" style="199" customWidth="1"/>
    <col min="7170" max="7170" width="13.5703125" style="199" bestFit="1" customWidth="1"/>
    <col min="7171" max="7171" width="2.140625" style="199" bestFit="1" customWidth="1"/>
    <col min="7172" max="7172" width="14.5703125" style="199" bestFit="1" customWidth="1"/>
    <col min="7173" max="7173" width="2.5703125" style="199" customWidth="1"/>
    <col min="7174" max="7174" width="3.28515625" style="199" bestFit="1" customWidth="1"/>
    <col min="7175" max="7175" width="16" style="199" bestFit="1" customWidth="1"/>
    <col min="7176" max="7176" width="14.5703125" style="199" bestFit="1" customWidth="1"/>
    <col min="7177" max="7420" width="9.140625" style="199"/>
    <col min="7421" max="7421" width="5.140625" style="199" customWidth="1"/>
    <col min="7422" max="7422" width="3.42578125" style="199" customWidth="1"/>
    <col min="7423" max="7423" width="38.5703125" style="199" bestFit="1" customWidth="1"/>
    <col min="7424" max="7424" width="1.85546875" style="199" customWidth="1"/>
    <col min="7425" max="7425" width="2.42578125" style="199" customWidth="1"/>
    <col min="7426" max="7426" width="13.5703125" style="199" bestFit="1" customWidth="1"/>
    <col min="7427" max="7427" width="2.140625" style="199" bestFit="1" customWidth="1"/>
    <col min="7428" max="7428" width="14.5703125" style="199" bestFit="1" customWidth="1"/>
    <col min="7429" max="7429" width="2.5703125" style="199" customWidth="1"/>
    <col min="7430" max="7430" width="3.28515625" style="199" bestFit="1" customWidth="1"/>
    <col min="7431" max="7431" width="16" style="199" bestFit="1" customWidth="1"/>
    <col min="7432" max="7432" width="14.5703125" style="199" bestFit="1" customWidth="1"/>
    <col min="7433" max="7676" width="9.140625" style="199"/>
    <col min="7677" max="7677" width="5.140625" style="199" customWidth="1"/>
    <col min="7678" max="7678" width="3.42578125" style="199" customWidth="1"/>
    <col min="7679" max="7679" width="38.5703125" style="199" bestFit="1" customWidth="1"/>
    <col min="7680" max="7680" width="1.85546875" style="199" customWidth="1"/>
    <col min="7681" max="7681" width="2.42578125" style="199" customWidth="1"/>
    <col min="7682" max="7682" width="13.5703125" style="199" bestFit="1" customWidth="1"/>
    <col min="7683" max="7683" width="2.140625" style="199" bestFit="1" customWidth="1"/>
    <col min="7684" max="7684" width="14.5703125" style="199" bestFit="1" customWidth="1"/>
    <col min="7685" max="7685" width="2.5703125" style="199" customWidth="1"/>
    <col min="7686" max="7686" width="3.28515625" style="199" bestFit="1" customWidth="1"/>
    <col min="7687" max="7687" width="16" style="199" bestFit="1" customWidth="1"/>
    <col min="7688" max="7688" width="14.5703125" style="199" bestFit="1" customWidth="1"/>
    <col min="7689" max="7932" width="9.140625" style="199"/>
    <col min="7933" max="7933" width="5.140625" style="199" customWidth="1"/>
    <col min="7934" max="7934" width="3.42578125" style="199" customWidth="1"/>
    <col min="7935" max="7935" width="38.5703125" style="199" bestFit="1" customWidth="1"/>
    <col min="7936" max="7936" width="1.85546875" style="199" customWidth="1"/>
    <col min="7937" max="7937" width="2.42578125" style="199" customWidth="1"/>
    <col min="7938" max="7938" width="13.5703125" style="199" bestFit="1" customWidth="1"/>
    <col min="7939" max="7939" width="2.140625" style="199" bestFit="1" customWidth="1"/>
    <col min="7940" max="7940" width="14.5703125" style="199" bestFit="1" customWidth="1"/>
    <col min="7941" max="7941" width="2.5703125" style="199" customWidth="1"/>
    <col min="7942" max="7942" width="3.28515625" style="199" bestFit="1" customWidth="1"/>
    <col min="7943" max="7943" width="16" style="199" bestFit="1" customWidth="1"/>
    <col min="7944" max="7944" width="14.5703125" style="199" bestFit="1" customWidth="1"/>
    <col min="7945" max="8188" width="9.140625" style="199"/>
    <col min="8189" max="8189" width="5.140625" style="199" customWidth="1"/>
    <col min="8190" max="8190" width="3.42578125" style="199" customWidth="1"/>
    <col min="8191" max="8191" width="38.5703125" style="199" bestFit="1" customWidth="1"/>
    <col min="8192" max="8192" width="1.85546875" style="199" customWidth="1"/>
    <col min="8193" max="8193" width="2.42578125" style="199" customWidth="1"/>
    <col min="8194" max="8194" width="13.5703125" style="199" bestFit="1" customWidth="1"/>
    <col min="8195" max="8195" width="2.140625" style="199" bestFit="1" customWidth="1"/>
    <col min="8196" max="8196" width="14.5703125" style="199" bestFit="1" customWidth="1"/>
    <col min="8197" max="8197" width="2.5703125" style="199" customWidth="1"/>
    <col min="8198" max="8198" width="3.28515625" style="199" bestFit="1" customWidth="1"/>
    <col min="8199" max="8199" width="16" style="199" bestFit="1" customWidth="1"/>
    <col min="8200" max="8200" width="14.5703125" style="199" bestFit="1" customWidth="1"/>
    <col min="8201" max="8444" width="9.140625" style="199"/>
    <col min="8445" max="8445" width="5.140625" style="199" customWidth="1"/>
    <col min="8446" max="8446" width="3.42578125" style="199" customWidth="1"/>
    <col min="8447" max="8447" width="38.5703125" style="199" bestFit="1" customWidth="1"/>
    <col min="8448" max="8448" width="1.85546875" style="199" customWidth="1"/>
    <col min="8449" max="8449" width="2.42578125" style="199" customWidth="1"/>
    <col min="8450" max="8450" width="13.5703125" style="199" bestFit="1" customWidth="1"/>
    <col min="8451" max="8451" width="2.140625" style="199" bestFit="1" customWidth="1"/>
    <col min="8452" max="8452" width="14.5703125" style="199" bestFit="1" customWidth="1"/>
    <col min="8453" max="8453" width="2.5703125" style="199" customWidth="1"/>
    <col min="8454" max="8454" width="3.28515625" style="199" bestFit="1" customWidth="1"/>
    <col min="8455" max="8455" width="16" style="199" bestFit="1" customWidth="1"/>
    <col min="8456" max="8456" width="14.5703125" style="199" bestFit="1" customWidth="1"/>
    <col min="8457" max="8700" width="9.140625" style="199"/>
    <col min="8701" max="8701" width="5.140625" style="199" customWidth="1"/>
    <col min="8702" max="8702" width="3.42578125" style="199" customWidth="1"/>
    <col min="8703" max="8703" width="38.5703125" style="199" bestFit="1" customWidth="1"/>
    <col min="8704" max="8704" width="1.85546875" style="199" customWidth="1"/>
    <col min="8705" max="8705" width="2.42578125" style="199" customWidth="1"/>
    <col min="8706" max="8706" width="13.5703125" style="199" bestFit="1" customWidth="1"/>
    <col min="8707" max="8707" width="2.140625" style="199" bestFit="1" customWidth="1"/>
    <col min="8708" max="8708" width="14.5703125" style="199" bestFit="1" customWidth="1"/>
    <col min="8709" max="8709" width="2.5703125" style="199" customWidth="1"/>
    <col min="8710" max="8710" width="3.28515625" style="199" bestFit="1" customWidth="1"/>
    <col min="8711" max="8711" width="16" style="199" bestFit="1" customWidth="1"/>
    <col min="8712" max="8712" width="14.5703125" style="199" bestFit="1" customWidth="1"/>
    <col min="8713" max="8956" width="9.140625" style="199"/>
    <col min="8957" max="8957" width="5.140625" style="199" customWidth="1"/>
    <col min="8958" max="8958" width="3.42578125" style="199" customWidth="1"/>
    <col min="8959" max="8959" width="38.5703125" style="199" bestFit="1" customWidth="1"/>
    <col min="8960" max="8960" width="1.85546875" style="199" customWidth="1"/>
    <col min="8961" max="8961" width="2.42578125" style="199" customWidth="1"/>
    <col min="8962" max="8962" width="13.5703125" style="199" bestFit="1" customWidth="1"/>
    <col min="8963" max="8963" width="2.140625" style="199" bestFit="1" customWidth="1"/>
    <col min="8964" max="8964" width="14.5703125" style="199" bestFit="1" customWidth="1"/>
    <col min="8965" max="8965" width="2.5703125" style="199" customWidth="1"/>
    <col min="8966" max="8966" width="3.28515625" style="199" bestFit="1" customWidth="1"/>
    <col min="8967" max="8967" width="16" style="199" bestFit="1" customWidth="1"/>
    <col min="8968" max="8968" width="14.5703125" style="199" bestFit="1" customWidth="1"/>
    <col min="8969" max="9212" width="9.140625" style="199"/>
    <col min="9213" max="9213" width="5.140625" style="199" customWidth="1"/>
    <col min="9214" max="9214" width="3.42578125" style="199" customWidth="1"/>
    <col min="9215" max="9215" width="38.5703125" style="199" bestFit="1" customWidth="1"/>
    <col min="9216" max="9216" width="1.85546875" style="199" customWidth="1"/>
    <col min="9217" max="9217" width="2.42578125" style="199" customWidth="1"/>
    <col min="9218" max="9218" width="13.5703125" style="199" bestFit="1" customWidth="1"/>
    <col min="9219" max="9219" width="2.140625" style="199" bestFit="1" customWidth="1"/>
    <col min="9220" max="9220" width="14.5703125" style="199" bestFit="1" customWidth="1"/>
    <col min="9221" max="9221" width="2.5703125" style="199" customWidth="1"/>
    <col min="9222" max="9222" width="3.28515625" style="199" bestFit="1" customWidth="1"/>
    <col min="9223" max="9223" width="16" style="199" bestFit="1" customWidth="1"/>
    <col min="9224" max="9224" width="14.5703125" style="199" bestFit="1" customWidth="1"/>
    <col min="9225" max="9468" width="9.140625" style="199"/>
    <col min="9469" max="9469" width="5.140625" style="199" customWidth="1"/>
    <col min="9470" max="9470" width="3.42578125" style="199" customWidth="1"/>
    <col min="9471" max="9471" width="38.5703125" style="199" bestFit="1" customWidth="1"/>
    <col min="9472" max="9472" width="1.85546875" style="199" customWidth="1"/>
    <col min="9473" max="9473" width="2.42578125" style="199" customWidth="1"/>
    <col min="9474" max="9474" width="13.5703125" style="199" bestFit="1" customWidth="1"/>
    <col min="9475" max="9475" width="2.140625" style="199" bestFit="1" customWidth="1"/>
    <col min="9476" max="9476" width="14.5703125" style="199" bestFit="1" customWidth="1"/>
    <col min="9477" max="9477" width="2.5703125" style="199" customWidth="1"/>
    <col min="9478" max="9478" width="3.28515625" style="199" bestFit="1" customWidth="1"/>
    <col min="9479" max="9479" width="16" style="199" bestFit="1" customWidth="1"/>
    <col min="9480" max="9480" width="14.5703125" style="199" bestFit="1" customWidth="1"/>
    <col min="9481" max="9724" width="9.140625" style="199"/>
    <col min="9725" max="9725" width="5.140625" style="199" customWidth="1"/>
    <col min="9726" max="9726" width="3.42578125" style="199" customWidth="1"/>
    <col min="9727" max="9727" width="38.5703125" style="199" bestFit="1" customWidth="1"/>
    <col min="9728" max="9728" width="1.85546875" style="199" customWidth="1"/>
    <col min="9729" max="9729" width="2.42578125" style="199" customWidth="1"/>
    <col min="9730" max="9730" width="13.5703125" style="199" bestFit="1" customWidth="1"/>
    <col min="9731" max="9731" width="2.140625" style="199" bestFit="1" customWidth="1"/>
    <col min="9732" max="9732" width="14.5703125" style="199" bestFit="1" customWidth="1"/>
    <col min="9733" max="9733" width="2.5703125" style="199" customWidth="1"/>
    <col min="9734" max="9734" width="3.28515625" style="199" bestFit="1" customWidth="1"/>
    <col min="9735" max="9735" width="16" style="199" bestFit="1" customWidth="1"/>
    <col min="9736" max="9736" width="14.5703125" style="199" bestFit="1" customWidth="1"/>
    <col min="9737" max="9980" width="9.140625" style="199"/>
    <col min="9981" max="9981" width="5.140625" style="199" customWidth="1"/>
    <col min="9982" max="9982" width="3.42578125" style="199" customWidth="1"/>
    <col min="9983" max="9983" width="38.5703125" style="199" bestFit="1" customWidth="1"/>
    <col min="9984" max="9984" width="1.85546875" style="199" customWidth="1"/>
    <col min="9985" max="9985" width="2.42578125" style="199" customWidth="1"/>
    <col min="9986" max="9986" width="13.5703125" style="199" bestFit="1" customWidth="1"/>
    <col min="9987" max="9987" width="2.140625" style="199" bestFit="1" customWidth="1"/>
    <col min="9988" max="9988" width="14.5703125" style="199" bestFit="1" customWidth="1"/>
    <col min="9989" max="9989" width="2.5703125" style="199" customWidth="1"/>
    <col min="9990" max="9990" width="3.28515625" style="199" bestFit="1" customWidth="1"/>
    <col min="9991" max="9991" width="16" style="199" bestFit="1" customWidth="1"/>
    <col min="9992" max="9992" width="14.5703125" style="199" bestFit="1" customWidth="1"/>
    <col min="9993" max="10236" width="9.140625" style="199"/>
    <col min="10237" max="10237" width="5.140625" style="199" customWidth="1"/>
    <col min="10238" max="10238" width="3.42578125" style="199" customWidth="1"/>
    <col min="10239" max="10239" width="38.5703125" style="199" bestFit="1" customWidth="1"/>
    <col min="10240" max="10240" width="1.85546875" style="199" customWidth="1"/>
    <col min="10241" max="10241" width="2.42578125" style="199" customWidth="1"/>
    <col min="10242" max="10242" width="13.5703125" style="199" bestFit="1" customWidth="1"/>
    <col min="10243" max="10243" width="2.140625" style="199" bestFit="1" customWidth="1"/>
    <col min="10244" max="10244" width="14.5703125" style="199" bestFit="1" customWidth="1"/>
    <col min="10245" max="10245" width="2.5703125" style="199" customWidth="1"/>
    <col min="10246" max="10246" width="3.28515625" style="199" bestFit="1" customWidth="1"/>
    <col min="10247" max="10247" width="16" style="199" bestFit="1" customWidth="1"/>
    <col min="10248" max="10248" width="14.5703125" style="199" bestFit="1" customWidth="1"/>
    <col min="10249" max="10492" width="9.140625" style="199"/>
    <col min="10493" max="10493" width="5.140625" style="199" customWidth="1"/>
    <col min="10494" max="10494" width="3.42578125" style="199" customWidth="1"/>
    <col min="10495" max="10495" width="38.5703125" style="199" bestFit="1" customWidth="1"/>
    <col min="10496" max="10496" width="1.85546875" style="199" customWidth="1"/>
    <col min="10497" max="10497" width="2.42578125" style="199" customWidth="1"/>
    <col min="10498" max="10498" width="13.5703125" style="199" bestFit="1" customWidth="1"/>
    <col min="10499" max="10499" width="2.140625" style="199" bestFit="1" customWidth="1"/>
    <col min="10500" max="10500" width="14.5703125" style="199" bestFit="1" customWidth="1"/>
    <col min="10501" max="10501" width="2.5703125" style="199" customWidth="1"/>
    <col min="10502" max="10502" width="3.28515625" style="199" bestFit="1" customWidth="1"/>
    <col min="10503" max="10503" width="16" style="199" bestFit="1" customWidth="1"/>
    <col min="10504" max="10504" width="14.5703125" style="199" bestFit="1" customWidth="1"/>
    <col min="10505" max="10748" width="9.140625" style="199"/>
    <col min="10749" max="10749" width="5.140625" style="199" customWidth="1"/>
    <col min="10750" max="10750" width="3.42578125" style="199" customWidth="1"/>
    <col min="10751" max="10751" width="38.5703125" style="199" bestFit="1" customWidth="1"/>
    <col min="10752" max="10752" width="1.85546875" style="199" customWidth="1"/>
    <col min="10753" max="10753" width="2.42578125" style="199" customWidth="1"/>
    <col min="10754" max="10754" width="13.5703125" style="199" bestFit="1" customWidth="1"/>
    <col min="10755" max="10755" width="2.140625" style="199" bestFit="1" customWidth="1"/>
    <col min="10756" max="10756" width="14.5703125" style="199" bestFit="1" customWidth="1"/>
    <col min="10757" max="10757" width="2.5703125" style="199" customWidth="1"/>
    <col min="10758" max="10758" width="3.28515625" style="199" bestFit="1" customWidth="1"/>
    <col min="10759" max="10759" width="16" style="199" bestFit="1" customWidth="1"/>
    <col min="10760" max="10760" width="14.5703125" style="199" bestFit="1" customWidth="1"/>
    <col min="10761" max="11004" width="9.140625" style="199"/>
    <col min="11005" max="11005" width="5.140625" style="199" customWidth="1"/>
    <col min="11006" max="11006" width="3.42578125" style="199" customWidth="1"/>
    <col min="11007" max="11007" width="38.5703125" style="199" bestFit="1" customWidth="1"/>
    <col min="11008" max="11008" width="1.85546875" style="199" customWidth="1"/>
    <col min="11009" max="11009" width="2.42578125" style="199" customWidth="1"/>
    <col min="11010" max="11010" width="13.5703125" style="199" bestFit="1" customWidth="1"/>
    <col min="11011" max="11011" width="2.140625" style="199" bestFit="1" customWidth="1"/>
    <col min="11012" max="11012" width="14.5703125" style="199" bestFit="1" customWidth="1"/>
    <col min="11013" max="11013" width="2.5703125" style="199" customWidth="1"/>
    <col min="11014" max="11014" width="3.28515625" style="199" bestFit="1" customWidth="1"/>
    <col min="11015" max="11015" width="16" style="199" bestFit="1" customWidth="1"/>
    <col min="11016" max="11016" width="14.5703125" style="199" bestFit="1" customWidth="1"/>
    <col min="11017" max="11260" width="9.140625" style="199"/>
    <col min="11261" max="11261" width="5.140625" style="199" customWidth="1"/>
    <col min="11262" max="11262" width="3.42578125" style="199" customWidth="1"/>
    <col min="11263" max="11263" width="38.5703125" style="199" bestFit="1" customWidth="1"/>
    <col min="11264" max="11264" width="1.85546875" style="199" customWidth="1"/>
    <col min="11265" max="11265" width="2.42578125" style="199" customWidth="1"/>
    <col min="11266" max="11266" width="13.5703125" style="199" bestFit="1" customWidth="1"/>
    <col min="11267" max="11267" width="2.140625" style="199" bestFit="1" customWidth="1"/>
    <col min="11268" max="11268" width="14.5703125" style="199" bestFit="1" customWidth="1"/>
    <col min="11269" max="11269" width="2.5703125" style="199" customWidth="1"/>
    <col min="11270" max="11270" width="3.28515625" style="199" bestFit="1" customWidth="1"/>
    <col min="11271" max="11271" width="16" style="199" bestFit="1" customWidth="1"/>
    <col min="11272" max="11272" width="14.5703125" style="199" bestFit="1" customWidth="1"/>
    <col min="11273" max="11516" width="9.140625" style="199"/>
    <col min="11517" max="11517" width="5.140625" style="199" customWidth="1"/>
    <col min="11518" max="11518" width="3.42578125" style="199" customWidth="1"/>
    <col min="11519" max="11519" width="38.5703125" style="199" bestFit="1" customWidth="1"/>
    <col min="11520" max="11520" width="1.85546875" style="199" customWidth="1"/>
    <col min="11521" max="11521" width="2.42578125" style="199" customWidth="1"/>
    <col min="11522" max="11522" width="13.5703125" style="199" bestFit="1" customWidth="1"/>
    <col min="11523" max="11523" width="2.140625" style="199" bestFit="1" customWidth="1"/>
    <col min="11524" max="11524" width="14.5703125" style="199" bestFit="1" customWidth="1"/>
    <col min="11525" max="11525" width="2.5703125" style="199" customWidth="1"/>
    <col min="11526" max="11526" width="3.28515625" style="199" bestFit="1" customWidth="1"/>
    <col min="11527" max="11527" width="16" style="199" bestFit="1" customWidth="1"/>
    <col min="11528" max="11528" width="14.5703125" style="199" bestFit="1" customWidth="1"/>
    <col min="11529" max="11772" width="9.140625" style="199"/>
    <col min="11773" max="11773" width="5.140625" style="199" customWidth="1"/>
    <col min="11774" max="11774" width="3.42578125" style="199" customWidth="1"/>
    <col min="11775" max="11775" width="38.5703125" style="199" bestFit="1" customWidth="1"/>
    <col min="11776" max="11776" width="1.85546875" style="199" customWidth="1"/>
    <col min="11777" max="11777" width="2.42578125" style="199" customWidth="1"/>
    <col min="11778" max="11778" width="13.5703125" style="199" bestFit="1" customWidth="1"/>
    <col min="11779" max="11779" width="2.140625" style="199" bestFit="1" customWidth="1"/>
    <col min="11780" max="11780" width="14.5703125" style="199" bestFit="1" customWidth="1"/>
    <col min="11781" max="11781" width="2.5703125" style="199" customWidth="1"/>
    <col min="11782" max="11782" width="3.28515625" style="199" bestFit="1" customWidth="1"/>
    <col min="11783" max="11783" width="16" style="199" bestFit="1" customWidth="1"/>
    <col min="11784" max="11784" width="14.5703125" style="199" bestFit="1" customWidth="1"/>
    <col min="11785" max="12028" width="9.140625" style="199"/>
    <col min="12029" max="12029" width="5.140625" style="199" customWidth="1"/>
    <col min="12030" max="12030" width="3.42578125" style="199" customWidth="1"/>
    <col min="12031" max="12031" width="38.5703125" style="199" bestFit="1" customWidth="1"/>
    <col min="12032" max="12032" width="1.85546875" style="199" customWidth="1"/>
    <col min="12033" max="12033" width="2.42578125" style="199" customWidth="1"/>
    <col min="12034" max="12034" width="13.5703125" style="199" bestFit="1" customWidth="1"/>
    <col min="12035" max="12035" width="2.140625" style="199" bestFit="1" customWidth="1"/>
    <col min="12036" max="12036" width="14.5703125" style="199" bestFit="1" customWidth="1"/>
    <col min="12037" max="12037" width="2.5703125" style="199" customWidth="1"/>
    <col min="12038" max="12038" width="3.28515625" style="199" bestFit="1" customWidth="1"/>
    <col min="12039" max="12039" width="16" style="199" bestFit="1" customWidth="1"/>
    <col min="12040" max="12040" width="14.5703125" style="199" bestFit="1" customWidth="1"/>
    <col min="12041" max="12284" width="9.140625" style="199"/>
    <col min="12285" max="12285" width="5.140625" style="199" customWidth="1"/>
    <col min="12286" max="12286" width="3.42578125" style="199" customWidth="1"/>
    <col min="12287" max="12287" width="38.5703125" style="199" bestFit="1" customWidth="1"/>
    <col min="12288" max="12288" width="1.85546875" style="199" customWidth="1"/>
    <col min="12289" max="12289" width="2.42578125" style="199" customWidth="1"/>
    <col min="12290" max="12290" width="13.5703125" style="199" bestFit="1" customWidth="1"/>
    <col min="12291" max="12291" width="2.140625" style="199" bestFit="1" customWidth="1"/>
    <col min="12292" max="12292" width="14.5703125" style="199" bestFit="1" customWidth="1"/>
    <col min="12293" max="12293" width="2.5703125" style="199" customWidth="1"/>
    <col min="12294" max="12294" width="3.28515625" style="199" bestFit="1" customWidth="1"/>
    <col min="12295" max="12295" width="16" style="199" bestFit="1" customWidth="1"/>
    <col min="12296" max="12296" width="14.5703125" style="199" bestFit="1" customWidth="1"/>
    <col min="12297" max="12540" width="9.140625" style="199"/>
    <col min="12541" max="12541" width="5.140625" style="199" customWidth="1"/>
    <col min="12542" max="12542" width="3.42578125" style="199" customWidth="1"/>
    <col min="12543" max="12543" width="38.5703125" style="199" bestFit="1" customWidth="1"/>
    <col min="12544" max="12544" width="1.85546875" style="199" customWidth="1"/>
    <col min="12545" max="12545" width="2.42578125" style="199" customWidth="1"/>
    <col min="12546" max="12546" width="13.5703125" style="199" bestFit="1" customWidth="1"/>
    <col min="12547" max="12547" width="2.140625" style="199" bestFit="1" customWidth="1"/>
    <col min="12548" max="12548" width="14.5703125" style="199" bestFit="1" customWidth="1"/>
    <col min="12549" max="12549" width="2.5703125" style="199" customWidth="1"/>
    <col min="12550" max="12550" width="3.28515625" style="199" bestFit="1" customWidth="1"/>
    <col min="12551" max="12551" width="16" style="199" bestFit="1" customWidth="1"/>
    <col min="12552" max="12552" width="14.5703125" style="199" bestFit="1" customWidth="1"/>
    <col min="12553" max="12796" width="9.140625" style="199"/>
    <col min="12797" max="12797" width="5.140625" style="199" customWidth="1"/>
    <col min="12798" max="12798" width="3.42578125" style="199" customWidth="1"/>
    <col min="12799" max="12799" width="38.5703125" style="199" bestFit="1" customWidth="1"/>
    <col min="12800" max="12800" width="1.85546875" style="199" customWidth="1"/>
    <col min="12801" max="12801" width="2.42578125" style="199" customWidth="1"/>
    <col min="12802" max="12802" width="13.5703125" style="199" bestFit="1" customWidth="1"/>
    <col min="12803" max="12803" width="2.140625" style="199" bestFit="1" customWidth="1"/>
    <col min="12804" max="12804" width="14.5703125" style="199" bestFit="1" customWidth="1"/>
    <col min="12805" max="12805" width="2.5703125" style="199" customWidth="1"/>
    <col min="12806" max="12806" width="3.28515625" style="199" bestFit="1" customWidth="1"/>
    <col min="12807" max="12807" width="16" style="199" bestFit="1" customWidth="1"/>
    <col min="12808" max="12808" width="14.5703125" style="199" bestFit="1" customWidth="1"/>
    <col min="12809" max="13052" width="9.140625" style="199"/>
    <col min="13053" max="13053" width="5.140625" style="199" customWidth="1"/>
    <col min="13054" max="13054" width="3.42578125" style="199" customWidth="1"/>
    <col min="13055" max="13055" width="38.5703125" style="199" bestFit="1" customWidth="1"/>
    <col min="13056" max="13056" width="1.85546875" style="199" customWidth="1"/>
    <col min="13057" max="13057" width="2.42578125" style="199" customWidth="1"/>
    <col min="13058" max="13058" width="13.5703125" style="199" bestFit="1" customWidth="1"/>
    <col min="13059" max="13059" width="2.140625" style="199" bestFit="1" customWidth="1"/>
    <col min="13060" max="13060" width="14.5703125" style="199" bestFit="1" customWidth="1"/>
    <col min="13061" max="13061" width="2.5703125" style="199" customWidth="1"/>
    <col min="13062" max="13062" width="3.28515625" style="199" bestFit="1" customWidth="1"/>
    <col min="13063" max="13063" width="16" style="199" bestFit="1" customWidth="1"/>
    <col min="13064" max="13064" width="14.5703125" style="199" bestFit="1" customWidth="1"/>
    <col min="13065" max="13308" width="9.140625" style="199"/>
    <col min="13309" max="13309" width="5.140625" style="199" customWidth="1"/>
    <col min="13310" max="13310" width="3.42578125" style="199" customWidth="1"/>
    <col min="13311" max="13311" width="38.5703125" style="199" bestFit="1" customWidth="1"/>
    <col min="13312" max="13312" width="1.85546875" style="199" customWidth="1"/>
    <col min="13313" max="13313" width="2.42578125" style="199" customWidth="1"/>
    <col min="13314" max="13314" width="13.5703125" style="199" bestFit="1" customWidth="1"/>
    <col min="13315" max="13315" width="2.140625" style="199" bestFit="1" customWidth="1"/>
    <col min="13316" max="13316" width="14.5703125" style="199" bestFit="1" customWidth="1"/>
    <col min="13317" max="13317" width="2.5703125" style="199" customWidth="1"/>
    <col min="13318" max="13318" width="3.28515625" style="199" bestFit="1" customWidth="1"/>
    <col min="13319" max="13319" width="16" style="199" bestFit="1" customWidth="1"/>
    <col min="13320" max="13320" width="14.5703125" style="199" bestFit="1" customWidth="1"/>
    <col min="13321" max="13564" width="9.140625" style="199"/>
    <col min="13565" max="13565" width="5.140625" style="199" customWidth="1"/>
    <col min="13566" max="13566" width="3.42578125" style="199" customWidth="1"/>
    <col min="13567" max="13567" width="38.5703125" style="199" bestFit="1" customWidth="1"/>
    <col min="13568" max="13568" width="1.85546875" style="199" customWidth="1"/>
    <col min="13569" max="13569" width="2.42578125" style="199" customWidth="1"/>
    <col min="13570" max="13570" width="13.5703125" style="199" bestFit="1" customWidth="1"/>
    <col min="13571" max="13571" width="2.140625" style="199" bestFit="1" customWidth="1"/>
    <col min="13572" max="13572" width="14.5703125" style="199" bestFit="1" customWidth="1"/>
    <col min="13573" max="13573" width="2.5703125" style="199" customWidth="1"/>
    <col min="13574" max="13574" width="3.28515625" style="199" bestFit="1" customWidth="1"/>
    <col min="13575" max="13575" width="16" style="199" bestFit="1" customWidth="1"/>
    <col min="13576" max="13576" width="14.5703125" style="199" bestFit="1" customWidth="1"/>
    <col min="13577" max="13820" width="9.140625" style="199"/>
    <col min="13821" max="13821" width="5.140625" style="199" customWidth="1"/>
    <col min="13822" max="13822" width="3.42578125" style="199" customWidth="1"/>
    <col min="13823" max="13823" width="38.5703125" style="199" bestFit="1" customWidth="1"/>
    <col min="13824" max="13824" width="1.85546875" style="199" customWidth="1"/>
    <col min="13825" max="13825" width="2.42578125" style="199" customWidth="1"/>
    <col min="13826" max="13826" width="13.5703125" style="199" bestFit="1" customWidth="1"/>
    <col min="13827" max="13827" width="2.140625" style="199" bestFit="1" customWidth="1"/>
    <col min="13828" max="13828" width="14.5703125" style="199" bestFit="1" customWidth="1"/>
    <col min="13829" max="13829" width="2.5703125" style="199" customWidth="1"/>
    <col min="13830" max="13830" width="3.28515625" style="199" bestFit="1" customWidth="1"/>
    <col min="13831" max="13831" width="16" style="199" bestFit="1" customWidth="1"/>
    <col min="13832" max="13832" width="14.5703125" style="199" bestFit="1" customWidth="1"/>
    <col min="13833" max="14076" width="9.140625" style="199"/>
    <col min="14077" max="14077" width="5.140625" style="199" customWidth="1"/>
    <col min="14078" max="14078" width="3.42578125" style="199" customWidth="1"/>
    <col min="14079" max="14079" width="38.5703125" style="199" bestFit="1" customWidth="1"/>
    <col min="14080" max="14080" width="1.85546875" style="199" customWidth="1"/>
    <col min="14081" max="14081" width="2.42578125" style="199" customWidth="1"/>
    <col min="14082" max="14082" width="13.5703125" style="199" bestFit="1" customWidth="1"/>
    <col min="14083" max="14083" width="2.140625" style="199" bestFit="1" customWidth="1"/>
    <col min="14084" max="14084" width="14.5703125" style="199" bestFit="1" customWidth="1"/>
    <col min="14085" max="14085" width="2.5703125" style="199" customWidth="1"/>
    <col min="14086" max="14086" width="3.28515625" style="199" bestFit="1" customWidth="1"/>
    <col min="14087" max="14087" width="16" style="199" bestFit="1" customWidth="1"/>
    <col min="14088" max="14088" width="14.5703125" style="199" bestFit="1" customWidth="1"/>
    <col min="14089" max="14332" width="9.140625" style="199"/>
    <col min="14333" max="14333" width="5.140625" style="199" customWidth="1"/>
    <col min="14334" max="14334" width="3.42578125" style="199" customWidth="1"/>
    <col min="14335" max="14335" width="38.5703125" style="199" bestFit="1" customWidth="1"/>
    <col min="14336" max="14336" width="1.85546875" style="199" customWidth="1"/>
    <col min="14337" max="14337" width="2.42578125" style="199" customWidth="1"/>
    <col min="14338" max="14338" width="13.5703125" style="199" bestFit="1" customWidth="1"/>
    <col min="14339" max="14339" width="2.140625" style="199" bestFit="1" customWidth="1"/>
    <col min="14340" max="14340" width="14.5703125" style="199" bestFit="1" customWidth="1"/>
    <col min="14341" max="14341" width="2.5703125" style="199" customWidth="1"/>
    <col min="14342" max="14342" width="3.28515625" style="199" bestFit="1" customWidth="1"/>
    <col min="14343" max="14343" width="16" style="199" bestFit="1" customWidth="1"/>
    <col min="14344" max="14344" width="14.5703125" style="199" bestFit="1" customWidth="1"/>
    <col min="14345" max="14588" width="9.140625" style="199"/>
    <col min="14589" max="14589" width="5.140625" style="199" customWidth="1"/>
    <col min="14590" max="14590" width="3.42578125" style="199" customWidth="1"/>
    <col min="14591" max="14591" width="38.5703125" style="199" bestFit="1" customWidth="1"/>
    <col min="14592" max="14592" width="1.85546875" style="199" customWidth="1"/>
    <col min="14593" max="14593" width="2.42578125" style="199" customWidth="1"/>
    <col min="14594" max="14594" width="13.5703125" style="199" bestFit="1" customWidth="1"/>
    <col min="14595" max="14595" width="2.140625" style="199" bestFit="1" customWidth="1"/>
    <col min="14596" max="14596" width="14.5703125" style="199" bestFit="1" customWidth="1"/>
    <col min="14597" max="14597" width="2.5703125" style="199" customWidth="1"/>
    <col min="14598" max="14598" width="3.28515625" style="199" bestFit="1" customWidth="1"/>
    <col min="14599" max="14599" width="16" style="199" bestFit="1" customWidth="1"/>
    <col min="14600" max="14600" width="14.5703125" style="199" bestFit="1" customWidth="1"/>
    <col min="14601" max="14844" width="9.140625" style="199"/>
    <col min="14845" max="14845" width="5.140625" style="199" customWidth="1"/>
    <col min="14846" max="14846" width="3.42578125" style="199" customWidth="1"/>
    <col min="14847" max="14847" width="38.5703125" style="199" bestFit="1" customWidth="1"/>
    <col min="14848" max="14848" width="1.85546875" style="199" customWidth="1"/>
    <col min="14849" max="14849" width="2.42578125" style="199" customWidth="1"/>
    <col min="14850" max="14850" width="13.5703125" style="199" bestFit="1" customWidth="1"/>
    <col min="14851" max="14851" width="2.140625" style="199" bestFit="1" customWidth="1"/>
    <col min="14852" max="14852" width="14.5703125" style="199" bestFit="1" customWidth="1"/>
    <col min="14853" max="14853" width="2.5703125" style="199" customWidth="1"/>
    <col min="14854" max="14854" width="3.28515625" style="199" bestFit="1" customWidth="1"/>
    <col min="14855" max="14855" width="16" style="199" bestFit="1" customWidth="1"/>
    <col min="14856" max="14856" width="14.5703125" style="199" bestFit="1" customWidth="1"/>
    <col min="14857" max="15100" width="9.140625" style="199"/>
    <col min="15101" max="15101" width="5.140625" style="199" customWidth="1"/>
    <col min="15102" max="15102" width="3.42578125" style="199" customWidth="1"/>
    <col min="15103" max="15103" width="38.5703125" style="199" bestFit="1" customWidth="1"/>
    <col min="15104" max="15104" width="1.85546875" style="199" customWidth="1"/>
    <col min="15105" max="15105" width="2.42578125" style="199" customWidth="1"/>
    <col min="15106" max="15106" width="13.5703125" style="199" bestFit="1" customWidth="1"/>
    <col min="15107" max="15107" width="2.140625" style="199" bestFit="1" customWidth="1"/>
    <col min="15108" max="15108" width="14.5703125" style="199" bestFit="1" customWidth="1"/>
    <col min="15109" max="15109" width="2.5703125" style="199" customWidth="1"/>
    <col min="15110" max="15110" width="3.28515625" style="199" bestFit="1" customWidth="1"/>
    <col min="15111" max="15111" width="16" style="199" bestFit="1" customWidth="1"/>
    <col min="15112" max="15112" width="14.5703125" style="199" bestFit="1" customWidth="1"/>
    <col min="15113" max="15356" width="9.140625" style="199"/>
    <col min="15357" max="15357" width="5.140625" style="199" customWidth="1"/>
    <col min="15358" max="15358" width="3.42578125" style="199" customWidth="1"/>
    <col min="15359" max="15359" width="38.5703125" style="199" bestFit="1" customWidth="1"/>
    <col min="15360" max="15360" width="1.85546875" style="199" customWidth="1"/>
    <col min="15361" max="15361" width="2.42578125" style="199" customWidth="1"/>
    <col min="15362" max="15362" width="13.5703125" style="199" bestFit="1" customWidth="1"/>
    <col min="15363" max="15363" width="2.140625" style="199" bestFit="1" customWidth="1"/>
    <col min="15364" max="15364" width="14.5703125" style="199" bestFit="1" customWidth="1"/>
    <col min="15365" max="15365" width="2.5703125" style="199" customWidth="1"/>
    <col min="15366" max="15366" width="3.28515625" style="199" bestFit="1" customWidth="1"/>
    <col min="15367" max="15367" width="16" style="199" bestFit="1" customWidth="1"/>
    <col min="15368" max="15368" width="14.5703125" style="199" bestFit="1" customWidth="1"/>
    <col min="15369" max="15612" width="9.140625" style="199"/>
    <col min="15613" max="15613" width="5.140625" style="199" customWidth="1"/>
    <col min="15614" max="15614" width="3.42578125" style="199" customWidth="1"/>
    <col min="15615" max="15615" width="38.5703125" style="199" bestFit="1" customWidth="1"/>
    <col min="15616" max="15616" width="1.85546875" style="199" customWidth="1"/>
    <col min="15617" max="15617" width="2.42578125" style="199" customWidth="1"/>
    <col min="15618" max="15618" width="13.5703125" style="199" bestFit="1" customWidth="1"/>
    <col min="15619" max="15619" width="2.140625" style="199" bestFit="1" customWidth="1"/>
    <col min="15620" max="15620" width="14.5703125" style="199" bestFit="1" customWidth="1"/>
    <col min="15621" max="15621" width="2.5703125" style="199" customWidth="1"/>
    <col min="15622" max="15622" width="3.28515625" style="199" bestFit="1" customWidth="1"/>
    <col min="15623" max="15623" width="16" style="199" bestFit="1" customWidth="1"/>
    <col min="15624" max="15624" width="14.5703125" style="199" bestFit="1" customWidth="1"/>
    <col min="15625" max="15868" width="9.140625" style="199"/>
    <col min="15869" max="15869" width="5.140625" style="199" customWidth="1"/>
    <col min="15870" max="15870" width="3.42578125" style="199" customWidth="1"/>
    <col min="15871" max="15871" width="38.5703125" style="199" bestFit="1" customWidth="1"/>
    <col min="15872" max="15872" width="1.85546875" style="199" customWidth="1"/>
    <col min="15873" max="15873" width="2.42578125" style="199" customWidth="1"/>
    <col min="15874" max="15874" width="13.5703125" style="199" bestFit="1" customWidth="1"/>
    <col min="15875" max="15875" width="2.140625" style="199" bestFit="1" customWidth="1"/>
    <col min="15876" max="15876" width="14.5703125" style="199" bestFit="1" customWidth="1"/>
    <col min="15877" max="15877" width="2.5703125" style="199" customWidth="1"/>
    <col min="15878" max="15878" width="3.28515625" style="199" bestFit="1" customWidth="1"/>
    <col min="15879" max="15879" width="16" style="199" bestFit="1" customWidth="1"/>
    <col min="15880" max="15880" width="14.5703125" style="199" bestFit="1" customWidth="1"/>
    <col min="15881" max="16124" width="9.140625" style="199"/>
    <col min="16125" max="16125" width="5.140625" style="199" customWidth="1"/>
    <col min="16126" max="16126" width="3.42578125" style="199" customWidth="1"/>
    <col min="16127" max="16127" width="38.5703125" style="199" bestFit="1" customWidth="1"/>
    <col min="16128" max="16128" width="1.85546875" style="199" customWidth="1"/>
    <col min="16129" max="16129" width="2.42578125" style="199" customWidth="1"/>
    <col min="16130" max="16130" width="13.5703125" style="199" bestFit="1" customWidth="1"/>
    <col min="16131" max="16131" width="2.140625" style="199" bestFit="1" customWidth="1"/>
    <col min="16132" max="16132" width="14.5703125" style="199" bestFit="1" customWidth="1"/>
    <col min="16133" max="16133" width="2.5703125" style="199" customWidth="1"/>
    <col min="16134" max="16134" width="3.28515625" style="199" bestFit="1" customWidth="1"/>
    <col min="16135" max="16135" width="16" style="199" bestFit="1" customWidth="1"/>
    <col min="16136" max="16136" width="14.5703125" style="199" bestFit="1" customWidth="1"/>
    <col min="16137" max="16384" width="9.140625" style="199"/>
  </cols>
  <sheetData>
    <row r="1" spans="1:32" s="184" customFormat="1" ht="16.5" x14ac:dyDescent="0.3">
      <c r="A1" s="531" t="s">
        <v>0</v>
      </c>
      <c r="B1" s="531"/>
      <c r="C1" s="531"/>
      <c r="D1" s="531"/>
      <c r="E1" s="531"/>
      <c r="F1" s="531"/>
      <c r="G1" s="531"/>
      <c r="H1" s="531"/>
      <c r="I1" s="531"/>
      <c r="J1" s="531"/>
      <c r="K1" s="531"/>
      <c r="L1" s="531"/>
      <c r="M1" s="531"/>
      <c r="N1" s="185"/>
      <c r="O1" s="185"/>
      <c r="P1" s="185"/>
      <c r="V1" s="185"/>
      <c r="AE1" s="185"/>
      <c r="AF1" s="185"/>
    </row>
    <row r="2" spans="1:32" s="184" customFormat="1" ht="16.5" x14ac:dyDescent="0.3">
      <c r="A2" s="531" t="s">
        <v>1</v>
      </c>
      <c r="B2" s="531"/>
      <c r="C2" s="531"/>
      <c r="D2" s="531"/>
      <c r="E2" s="531"/>
      <c r="F2" s="531"/>
      <c r="G2" s="531"/>
      <c r="H2" s="531"/>
      <c r="I2" s="531"/>
      <c r="J2" s="531"/>
      <c r="K2" s="531"/>
      <c r="L2" s="531"/>
      <c r="M2" s="531"/>
      <c r="N2" s="185"/>
      <c r="O2" s="185"/>
      <c r="P2" s="185"/>
      <c r="V2" s="185"/>
      <c r="AE2" s="185"/>
      <c r="AF2" s="185"/>
    </row>
    <row r="3" spans="1:32" s="184" customFormat="1" ht="16.5" x14ac:dyDescent="0.3">
      <c r="A3" s="532" t="s">
        <v>562</v>
      </c>
      <c r="B3" s="532"/>
      <c r="C3" s="532"/>
      <c r="D3" s="532"/>
      <c r="E3" s="532"/>
      <c r="F3" s="532"/>
      <c r="G3" s="532"/>
      <c r="H3" s="532"/>
      <c r="I3" s="532"/>
      <c r="J3" s="532"/>
      <c r="K3" s="532"/>
      <c r="L3" s="532"/>
      <c r="M3" s="532"/>
      <c r="N3" s="185"/>
      <c r="O3" s="185"/>
      <c r="P3" s="185"/>
      <c r="V3" s="185"/>
      <c r="AE3" s="185"/>
      <c r="AF3" s="185"/>
    </row>
    <row r="4" spans="1:32" s="184" customFormat="1" ht="16.5" x14ac:dyDescent="0.3">
      <c r="A4" s="533" t="str">
        <f>'tb control'!A4:E4</f>
        <v>Fund Cluster 1</v>
      </c>
      <c r="B4" s="533"/>
      <c r="C4" s="533"/>
      <c r="D4" s="533"/>
      <c r="E4" s="533"/>
      <c r="F4" s="533"/>
      <c r="G4" s="533"/>
      <c r="H4" s="533"/>
      <c r="I4" s="533"/>
      <c r="J4" s="533"/>
      <c r="K4" s="533"/>
      <c r="L4" s="533"/>
      <c r="M4" s="533"/>
      <c r="N4" s="185"/>
      <c r="O4" s="185"/>
      <c r="P4" s="185"/>
      <c r="V4" s="185"/>
      <c r="AE4" s="185"/>
      <c r="AF4" s="185"/>
    </row>
    <row r="5" spans="1:32" s="184" customFormat="1" ht="16.5" x14ac:dyDescent="0.3">
      <c r="A5" s="534" t="str">
        <f>'tb control'!A5:E5</f>
        <v>As at December 31, 2024</v>
      </c>
      <c r="B5" s="534"/>
      <c r="C5" s="534"/>
      <c r="D5" s="534"/>
      <c r="E5" s="534"/>
      <c r="F5" s="534"/>
      <c r="G5" s="534"/>
      <c r="H5" s="534"/>
      <c r="I5" s="534"/>
      <c r="J5" s="534"/>
      <c r="K5" s="534"/>
      <c r="L5" s="534"/>
      <c r="M5" s="534"/>
      <c r="N5" s="185"/>
      <c r="O5" s="185"/>
      <c r="P5" s="185"/>
      <c r="V5" s="185"/>
      <c r="AE5" s="185"/>
      <c r="AF5" s="185"/>
    </row>
    <row r="6" spans="1:32" s="184" customFormat="1" ht="16.5" x14ac:dyDescent="0.3">
      <c r="A6" s="186"/>
      <c r="B6" s="186"/>
      <c r="C6" s="186"/>
      <c r="D6" s="186"/>
      <c r="E6" s="439"/>
      <c r="F6" s="186"/>
      <c r="G6" s="327"/>
      <c r="H6" s="186"/>
      <c r="I6" s="187"/>
      <c r="J6" s="187"/>
      <c r="K6" s="187"/>
      <c r="L6" s="186"/>
      <c r="M6" s="263"/>
      <c r="N6" s="185"/>
      <c r="O6" s="185"/>
      <c r="P6" s="185"/>
      <c r="V6" s="185"/>
      <c r="AE6" s="185"/>
      <c r="AF6" s="185"/>
    </row>
    <row r="7" spans="1:32" s="184" customFormat="1" ht="33" x14ac:dyDescent="0.3">
      <c r="A7" s="514"/>
      <c r="B7" s="514"/>
      <c r="C7" s="188"/>
      <c r="D7" s="514"/>
      <c r="E7" s="440"/>
      <c r="F7" s="514"/>
      <c r="G7" s="327" t="s">
        <v>424</v>
      </c>
      <c r="H7" s="441"/>
      <c r="I7" s="340" t="s">
        <v>515</v>
      </c>
      <c r="J7" s="340" t="s">
        <v>524</v>
      </c>
      <c r="K7" s="340" t="s">
        <v>525</v>
      </c>
      <c r="L7" s="341"/>
      <c r="M7" s="342" t="s">
        <v>523</v>
      </c>
      <c r="N7" s="499" t="s">
        <v>556</v>
      </c>
      <c r="O7" s="185"/>
      <c r="P7" s="185"/>
      <c r="V7" s="185"/>
      <c r="AE7" s="185"/>
      <c r="AF7" s="185"/>
    </row>
    <row r="8" spans="1:32" s="184" customFormat="1" ht="16.5" x14ac:dyDescent="0.3">
      <c r="A8" s="189" t="s">
        <v>183</v>
      </c>
      <c r="B8" s="190"/>
      <c r="C8" s="191"/>
      <c r="D8" s="190"/>
      <c r="E8" s="442"/>
      <c r="F8" s="190"/>
      <c r="G8" s="443"/>
      <c r="H8" s="190"/>
      <c r="I8" s="192"/>
      <c r="J8" s="192"/>
      <c r="K8" s="192"/>
      <c r="L8" s="193"/>
      <c r="M8" s="263"/>
      <c r="N8" s="185"/>
      <c r="O8" s="185"/>
      <c r="P8" s="185"/>
      <c r="V8" s="185"/>
      <c r="AE8" s="185"/>
      <c r="AF8" s="185"/>
    </row>
    <row r="9" spans="1:32" x14ac:dyDescent="0.2">
      <c r="A9" s="194"/>
      <c r="B9" s="194"/>
      <c r="C9" s="195"/>
      <c r="D9" s="194"/>
      <c r="E9" s="444"/>
      <c r="F9" s="194"/>
      <c r="G9" s="445"/>
      <c r="H9" s="194"/>
      <c r="I9" s="196"/>
      <c r="J9" s="196"/>
      <c r="K9" s="196"/>
      <c r="L9" s="197"/>
    </row>
    <row r="10" spans="1:32" ht="16.5" x14ac:dyDescent="0.3">
      <c r="A10" s="200" t="s">
        <v>184</v>
      </c>
      <c r="B10" s="200"/>
      <c r="G10" s="447" t="s">
        <v>425</v>
      </c>
    </row>
    <row r="11" spans="1:32" x14ac:dyDescent="0.2">
      <c r="B11" s="201" t="s">
        <v>248</v>
      </c>
      <c r="D11" s="201"/>
      <c r="E11" s="449"/>
      <c r="F11" s="201"/>
      <c r="H11" s="448" t="s">
        <v>182</v>
      </c>
      <c r="I11" s="206">
        <f>SUM(I13,I17,I22)</f>
        <v>23902641.68</v>
      </c>
      <c r="J11" s="206">
        <f t="shared" ref="J11:K11" si="0">SUM(J13,J17,J22)</f>
        <v>45594360.609999999</v>
      </c>
      <c r="K11" s="206">
        <f t="shared" si="0"/>
        <v>-475257</v>
      </c>
      <c r="L11" s="204" t="s">
        <v>182</v>
      </c>
      <c r="M11" s="266">
        <f>SUM(M13,M17,M22)</f>
        <v>45119103.609999999</v>
      </c>
      <c r="N11" s="501">
        <f>I11-M11</f>
        <v>-21216461.93</v>
      </c>
      <c r="T11" s="198"/>
    </row>
    <row r="12" spans="1:32" x14ac:dyDescent="0.2">
      <c r="B12" s="201"/>
      <c r="D12" s="201"/>
      <c r="E12" s="449"/>
      <c r="F12" s="201"/>
      <c r="H12" s="451"/>
      <c r="I12" s="207"/>
      <c r="J12" s="207"/>
      <c r="K12" s="207"/>
      <c r="M12" s="239"/>
    </row>
    <row r="13" spans="1:32" x14ac:dyDescent="0.2">
      <c r="C13" s="201" t="s">
        <v>272</v>
      </c>
      <c r="D13" s="201"/>
      <c r="E13" s="449"/>
      <c r="F13" s="201"/>
      <c r="H13" s="451"/>
      <c r="I13" s="206">
        <f>SUM(I14:I15)</f>
        <v>12589678.75</v>
      </c>
      <c r="J13" s="206">
        <f t="shared" ref="J13:K13" si="1">SUM(J14:J15)</f>
        <v>35353915.68</v>
      </c>
      <c r="K13" s="206">
        <f t="shared" si="1"/>
        <v>-475257</v>
      </c>
      <c r="M13" s="266">
        <f>SUM(M14:M15)</f>
        <v>34878658.68</v>
      </c>
      <c r="N13" s="501">
        <f>I13-M13</f>
        <v>-22288979.93</v>
      </c>
    </row>
    <row r="14" spans="1:32" x14ac:dyDescent="0.2">
      <c r="D14" s="205" t="s">
        <v>2</v>
      </c>
      <c r="E14" s="518">
        <v>1010101000</v>
      </c>
      <c r="F14" s="205"/>
      <c r="I14" s="203">
        <f>VLOOKUP(E14,'FC1-Post TB 2024'!$C$10:$F$122,4,FALSE)</f>
        <v>11854678.75</v>
      </c>
      <c r="J14" s="203">
        <f>VLOOKUP($E14,'Restated FC1-Pre TB 2023'!$C$10:$D$271,2,FALSE)</f>
        <v>34448915.68</v>
      </c>
      <c r="K14" s="203">
        <f>M14-J14</f>
        <v>0</v>
      </c>
      <c r="M14" s="239">
        <f>VLOOKUP($E14,'Restated FC1-Post TB 2023'!$C$10:$D$120,2,FALSE)</f>
        <v>34448915.68</v>
      </c>
      <c r="N14" s="198">
        <f>I14-M14</f>
        <v>-22594236.93</v>
      </c>
    </row>
    <row r="15" spans="1:32" x14ac:dyDescent="0.2">
      <c r="D15" s="205" t="s">
        <v>3</v>
      </c>
      <c r="E15" s="518">
        <v>1010102000</v>
      </c>
      <c r="F15" s="205"/>
      <c r="H15" s="451"/>
      <c r="I15" s="203">
        <f>VLOOKUP(E15,'FC1-Post TB 2024'!$C$10:$F$122,4,FALSE)</f>
        <v>735000</v>
      </c>
      <c r="J15" s="203">
        <f>VLOOKUP($E15,'Restated FC1-Pre TB 2023'!$C$10:$D$271,2,FALSE)</f>
        <v>905000</v>
      </c>
      <c r="K15" s="203">
        <f>M15-J15</f>
        <v>-475257</v>
      </c>
      <c r="M15" s="239">
        <f>VLOOKUP($E15,'Restated FC1-Post TB 2023'!$C$10:$D$120,2,FALSE)</f>
        <v>429743</v>
      </c>
      <c r="N15" s="198">
        <f>I15-M15</f>
        <v>305257</v>
      </c>
    </row>
    <row r="16" spans="1:32" x14ac:dyDescent="0.2">
      <c r="D16" s="205"/>
      <c r="E16" s="518"/>
      <c r="F16" s="205"/>
      <c r="H16" s="451"/>
      <c r="M16" s="239"/>
    </row>
    <row r="17" spans="2:22" x14ac:dyDescent="0.2">
      <c r="C17" s="201" t="s">
        <v>270</v>
      </c>
      <c r="D17" s="205"/>
      <c r="E17" s="518"/>
      <c r="F17" s="205"/>
      <c r="H17" s="451"/>
      <c r="I17" s="206">
        <f>SUM(I18:I20)</f>
        <v>220000</v>
      </c>
      <c r="J17" s="206">
        <f t="shared" ref="J17:K17" si="2">SUM(J18:J20)</f>
        <v>220000</v>
      </c>
      <c r="K17" s="206">
        <f t="shared" si="2"/>
        <v>0</v>
      </c>
      <c r="M17" s="266">
        <f>SUM(M18:M20)</f>
        <v>220000</v>
      </c>
      <c r="N17" s="501">
        <f t="shared" ref="N17:N80" si="3">I17-M17</f>
        <v>0</v>
      </c>
    </row>
    <row r="18" spans="2:22" hidden="1" x14ac:dyDescent="0.2">
      <c r="D18" s="205" t="s">
        <v>195</v>
      </c>
      <c r="E18" s="518">
        <v>1010202016</v>
      </c>
      <c r="F18" s="205"/>
      <c r="H18" s="451"/>
      <c r="I18" s="203">
        <f>VLOOKUP(E18,'FC1-Post TB 2024'!$C$10:$F$122,4,FALSE)</f>
        <v>0</v>
      </c>
      <c r="L18" s="208"/>
      <c r="M18" s="239">
        <f>VLOOKUP($E18,'Restated FC1-Post TB 2023'!$C$10:$D$120,2,FALSE)</f>
        <v>0</v>
      </c>
      <c r="N18" s="198">
        <f t="shared" si="3"/>
        <v>0</v>
      </c>
    </row>
    <row r="19" spans="2:22" ht="25.5" x14ac:dyDescent="0.2">
      <c r="D19" s="330" t="s">
        <v>507</v>
      </c>
      <c r="E19" s="518">
        <v>1010202024</v>
      </c>
      <c r="F19" s="205"/>
      <c r="I19" s="203">
        <f>VLOOKUP(E19,'FC1-Post TB 2024'!$C$10:$F$122,4,FALSE)</f>
        <v>220000</v>
      </c>
      <c r="J19" s="203">
        <f>VLOOKUP($E19,'Restated FC1-Pre TB 2023'!$C$10:$D$271,2,FALSE)</f>
        <v>220000</v>
      </c>
      <c r="K19" s="203">
        <f>M19-J19</f>
        <v>0</v>
      </c>
      <c r="L19" s="208"/>
      <c r="M19" s="239">
        <f>VLOOKUP($E19,'Restated FC1-Post TB 2023'!$C$10:$D$120,2,FALSE)</f>
        <v>220000</v>
      </c>
      <c r="N19" s="198">
        <f t="shared" si="3"/>
        <v>0</v>
      </c>
    </row>
    <row r="20" spans="2:22" hidden="1" x14ac:dyDescent="0.2">
      <c r="D20" s="205" t="s">
        <v>196</v>
      </c>
      <c r="E20" s="518">
        <v>1010202030</v>
      </c>
      <c r="F20" s="205"/>
      <c r="H20" s="451"/>
      <c r="I20" s="203">
        <f>VLOOKUP($E20,'tb control'!$C$10:$G$275,5,FALSE)</f>
        <v>0</v>
      </c>
      <c r="M20" s="239">
        <f>VLOOKUP($E20,'Restated FC1-Post TB 2023'!$C$10:$D$120,2,FALSE)</f>
        <v>0</v>
      </c>
      <c r="N20" s="198">
        <f t="shared" si="3"/>
        <v>0</v>
      </c>
    </row>
    <row r="21" spans="2:22" x14ac:dyDescent="0.2">
      <c r="D21" s="205"/>
      <c r="E21" s="518"/>
      <c r="F21" s="205"/>
      <c r="H21" s="451"/>
      <c r="M21" s="239"/>
    </row>
    <row r="22" spans="2:22" x14ac:dyDescent="0.2">
      <c r="C22" s="201" t="s">
        <v>271</v>
      </c>
      <c r="D22" s="205"/>
      <c r="E22" s="518"/>
      <c r="F22" s="205"/>
      <c r="H22" s="451"/>
      <c r="I22" s="206">
        <f>SUM(I23:I29)</f>
        <v>11092962.93</v>
      </c>
      <c r="J22" s="206">
        <f t="shared" ref="J22:L22" si="4">SUM(J23:J29)</f>
        <v>10020444.93</v>
      </c>
      <c r="K22" s="206">
        <f t="shared" si="4"/>
        <v>0</v>
      </c>
      <c r="L22" s="206">
        <f t="shared" si="4"/>
        <v>0</v>
      </c>
      <c r="M22" s="266">
        <f>SUM(M23:M29)</f>
        <v>10020444.93</v>
      </c>
      <c r="N22" s="501">
        <f t="shared" si="3"/>
        <v>1072518</v>
      </c>
      <c r="V22" s="198">
        <v>1677901.12</v>
      </c>
    </row>
    <row r="23" spans="2:22" hidden="1" x14ac:dyDescent="0.2">
      <c r="D23" s="205" t="s">
        <v>179</v>
      </c>
      <c r="E23" s="518">
        <v>1010401000</v>
      </c>
      <c r="F23" s="205"/>
      <c r="H23" s="451"/>
      <c r="I23" s="203">
        <f>VLOOKUP(E23,'FC1-Post TB 2024'!$C$10:$F$122,4,FALSE)</f>
        <v>0</v>
      </c>
      <c r="J23" s="203">
        <v>0</v>
      </c>
      <c r="K23" s="203">
        <f t="shared" ref="K23:K27" si="5">M23-J23</f>
        <v>0</v>
      </c>
      <c r="M23" s="239">
        <f>VLOOKUP($E23,'Restated FC1-Post TB 2023'!$C$10:$D$120,2,FALSE)</f>
        <v>0</v>
      </c>
      <c r="N23" s="198">
        <f t="shared" si="3"/>
        <v>0</v>
      </c>
      <c r="V23" s="198">
        <v>1592901.12</v>
      </c>
    </row>
    <row r="24" spans="2:22" x14ac:dyDescent="0.2">
      <c r="D24" s="205" t="s">
        <v>180</v>
      </c>
      <c r="E24" s="518">
        <v>1010403000</v>
      </c>
      <c r="F24" s="205"/>
      <c r="H24" s="451"/>
      <c r="I24" s="203">
        <f>VLOOKUP(E24,'FC1-Post TB 2024'!$C$10:$F$122,4,FALSE)</f>
        <v>11092962.93</v>
      </c>
      <c r="J24" s="203">
        <f>VLOOKUP($E24,'Restated FC1-Pre TB 2023'!$C$10:$D$271,2,FALSE)</f>
        <v>10020444.93</v>
      </c>
      <c r="K24" s="203">
        <f t="shared" si="5"/>
        <v>0</v>
      </c>
      <c r="M24" s="239">
        <f>VLOOKUP($E24,'Restated FC1-Post TB 2023'!$C$10:$D$120,2,FALSE)</f>
        <v>10020444.93</v>
      </c>
      <c r="N24" s="198">
        <f t="shared" si="3"/>
        <v>1072518</v>
      </c>
    </row>
    <row r="25" spans="2:22" hidden="1" x14ac:dyDescent="0.2">
      <c r="D25" s="205" t="s">
        <v>342</v>
      </c>
      <c r="E25" s="518">
        <v>1010407000</v>
      </c>
      <c r="F25" s="205"/>
      <c r="H25" s="451"/>
      <c r="I25" s="203">
        <f>VLOOKUP(E25,'FC1-Post TB 2024'!$C$10:$F$122,4,FALSE)</f>
        <v>0</v>
      </c>
      <c r="J25" s="203">
        <f>VLOOKUP($E25,'Restated FC1-Pre TB 2023'!$C$10:$D$271,2,FALSE)</f>
        <v>0</v>
      </c>
      <c r="K25" s="203">
        <f t="shared" si="5"/>
        <v>0</v>
      </c>
      <c r="M25" s="239">
        <f>VLOOKUP($E25,'Restated FC1-Post TB 2023'!$C$10:$D$120,2,FALSE)</f>
        <v>0</v>
      </c>
      <c r="N25" s="198">
        <f t="shared" si="3"/>
        <v>0</v>
      </c>
    </row>
    <row r="26" spans="2:22" hidden="1" x14ac:dyDescent="0.2">
      <c r="D26" s="205" t="s">
        <v>415</v>
      </c>
      <c r="E26" s="518">
        <v>1010408000</v>
      </c>
      <c r="F26" s="205"/>
      <c r="H26" s="451"/>
      <c r="I26" s="203">
        <f>VLOOKUP(E26,'FC1-Post TB 2024'!$C$10:$F$122,4,FALSE)</f>
        <v>0</v>
      </c>
      <c r="J26" s="203">
        <v>0</v>
      </c>
      <c r="K26" s="203">
        <f t="shared" si="5"/>
        <v>0</v>
      </c>
      <c r="M26" s="239">
        <f>VLOOKUP($E26,'Restated FC1-Post TB 2023'!$C$10:$D$120,2,FALSE)</f>
        <v>0</v>
      </c>
      <c r="N26" s="198">
        <f t="shared" si="3"/>
        <v>0</v>
      </c>
    </row>
    <row r="27" spans="2:22" hidden="1" x14ac:dyDescent="0.2">
      <c r="D27" s="205" t="s">
        <v>390</v>
      </c>
      <c r="E27" s="518">
        <v>1010409000</v>
      </c>
      <c r="F27" s="205"/>
      <c r="H27" s="451"/>
      <c r="I27" s="203">
        <f>-VLOOKUP(E27,'FC1-Post TB 2024'!$C$10:$F$122,4,FALSE)</f>
        <v>0</v>
      </c>
      <c r="J27" s="203">
        <v>0</v>
      </c>
      <c r="K27" s="203">
        <f t="shared" si="5"/>
        <v>0</v>
      </c>
      <c r="M27" s="239">
        <f>VLOOKUP($E27,'Restated FC1-Post TB 2023'!$C$10:$D$120,2,FALSE)</f>
        <v>0</v>
      </c>
      <c r="N27" s="198">
        <f t="shared" si="3"/>
        <v>0</v>
      </c>
    </row>
    <row r="28" spans="2:22" hidden="1" x14ac:dyDescent="0.2">
      <c r="D28" s="205" t="s">
        <v>97</v>
      </c>
      <c r="E28" s="518">
        <v>1010404000</v>
      </c>
      <c r="F28" s="205"/>
      <c r="H28" s="451"/>
      <c r="I28" s="203">
        <f>VLOOKUP(E28,'FC1-Post TB 2024'!$C$10:$F$122,4,FALSE)</f>
        <v>0</v>
      </c>
      <c r="J28" s="203">
        <f>VLOOKUP($E28,'Restated FC1-Pre TB 2023'!$C$10:$D$271,2,FALSE)</f>
        <v>0</v>
      </c>
      <c r="M28" s="239">
        <f>VLOOKUP($E28,'Restated FC1-Post TB 2023'!$C$10:$D$120,2,FALSE)</f>
        <v>0</v>
      </c>
      <c r="N28" s="198">
        <f t="shared" si="3"/>
        <v>0</v>
      </c>
    </row>
    <row r="29" spans="2:22" hidden="1" x14ac:dyDescent="0.2">
      <c r="D29" s="205" t="s">
        <v>181</v>
      </c>
      <c r="E29" s="518">
        <v>1010406000</v>
      </c>
      <c r="F29" s="205"/>
      <c r="I29" s="203">
        <f>VLOOKUP(E29,'FC1-Post TB 2024'!$C$10:$F$122,4,FALSE)</f>
        <v>0</v>
      </c>
      <c r="J29" s="203">
        <f>VLOOKUP($E29,'Restated FC1-Pre TB 2023'!$C$10:$D$271,2,FALSE)</f>
        <v>0</v>
      </c>
      <c r="L29" s="208"/>
      <c r="M29" s="239">
        <f>VLOOKUP($E29,'Restated FC1-Post TB 2023'!$C$10:$D$120,2,FALSE)</f>
        <v>0</v>
      </c>
      <c r="N29" s="198">
        <f t="shared" si="3"/>
        <v>0</v>
      </c>
    </row>
    <row r="30" spans="2:22" x14ac:dyDescent="0.2">
      <c r="D30" s="205"/>
      <c r="E30" s="518"/>
      <c r="F30" s="205"/>
      <c r="M30" s="239"/>
      <c r="V30" s="198">
        <f>V22-V23</f>
        <v>85000</v>
      </c>
    </row>
    <row r="31" spans="2:22" x14ac:dyDescent="0.2">
      <c r="B31" s="201" t="s">
        <v>185</v>
      </c>
      <c r="E31" s="518"/>
      <c r="G31" s="447" t="s">
        <v>426</v>
      </c>
      <c r="I31" s="206">
        <f>SUM(I33,I38,I46,I43)</f>
        <v>420780581.86000001</v>
      </c>
      <c r="J31" s="206">
        <f t="shared" ref="J31:K31" si="6">SUM(J33,J38,J46,J43)</f>
        <v>506002158.50999999</v>
      </c>
      <c r="K31" s="206">
        <f t="shared" si="6"/>
        <v>-301579523.15999997</v>
      </c>
      <c r="M31" s="266">
        <f>SUM(M33,M38,M46,M43)</f>
        <v>204422635.35000008</v>
      </c>
      <c r="N31" s="501">
        <f t="shared" si="3"/>
        <v>216357946.50999993</v>
      </c>
    </row>
    <row r="32" spans="2:22" x14ac:dyDescent="0.2">
      <c r="B32" s="201"/>
      <c r="E32" s="518"/>
      <c r="I32" s="207"/>
      <c r="J32" s="207"/>
      <c r="K32" s="207"/>
      <c r="M32" s="239"/>
    </row>
    <row r="33" spans="2:19" hidden="1" x14ac:dyDescent="0.2">
      <c r="B33" s="201"/>
      <c r="C33" s="201" t="s">
        <v>273</v>
      </c>
      <c r="E33" s="518"/>
      <c r="I33" s="209">
        <f>SUM(I34:I36)</f>
        <v>0</v>
      </c>
      <c r="J33" s="209"/>
      <c r="K33" s="209"/>
      <c r="L33" s="413"/>
      <c r="M33" s="267">
        <f>SUM(M34:M35)</f>
        <v>0</v>
      </c>
      <c r="N33" s="500">
        <f t="shared" si="3"/>
        <v>0</v>
      </c>
    </row>
    <row r="34" spans="2:19" hidden="1" x14ac:dyDescent="0.2">
      <c r="D34" s="205" t="s">
        <v>4</v>
      </c>
      <c r="E34" s="518">
        <v>1030101000</v>
      </c>
      <c r="F34" s="205"/>
      <c r="I34" s="203">
        <f>VLOOKUP(E34,'FC1-Post TB 2024'!$C$10:$F$122,4,FALSE)</f>
        <v>0</v>
      </c>
      <c r="M34" s="239">
        <f>VLOOKUP($E34,'Restated FC1-Post TB 2023'!$C$10:$D$120,2,FALSE)</f>
        <v>0</v>
      </c>
      <c r="N34" s="198">
        <f t="shared" si="3"/>
        <v>0</v>
      </c>
    </row>
    <row r="35" spans="2:19" hidden="1" x14ac:dyDescent="0.2">
      <c r="D35" s="205" t="s">
        <v>6</v>
      </c>
      <c r="E35" s="518">
        <v>1030199000</v>
      </c>
      <c r="F35" s="205"/>
      <c r="I35" s="203">
        <f>VLOOKUP(E35,'FC1-Post TB 2024'!$C$10:$F$122,4,FALSE)</f>
        <v>0</v>
      </c>
      <c r="M35" s="239">
        <f>VLOOKUP($E35,'Restated FC1-Post TB 2023'!$C$10:$D$120,2,FALSE)</f>
        <v>0</v>
      </c>
      <c r="N35" s="198">
        <f t="shared" si="3"/>
        <v>0</v>
      </c>
    </row>
    <row r="36" spans="2:19" hidden="1" x14ac:dyDescent="0.2">
      <c r="D36" s="205" t="s">
        <v>387</v>
      </c>
      <c r="E36" s="518">
        <v>1030501000</v>
      </c>
      <c r="F36" s="205"/>
      <c r="I36" s="203">
        <f>VLOOKUP(E36,'FC1-Post TB 2024'!$C$10:$F$122,4,FALSE)</f>
        <v>0</v>
      </c>
      <c r="M36" s="239"/>
      <c r="N36" s="198">
        <f t="shared" si="3"/>
        <v>0</v>
      </c>
    </row>
    <row r="37" spans="2:19" x14ac:dyDescent="0.2">
      <c r="D37" s="205"/>
      <c r="E37" s="518"/>
      <c r="F37" s="205"/>
      <c r="M37" s="239"/>
    </row>
    <row r="38" spans="2:19" x14ac:dyDescent="0.2">
      <c r="C38" s="201" t="s">
        <v>274</v>
      </c>
      <c r="D38" s="205"/>
      <c r="E38" s="518"/>
      <c r="F38" s="205"/>
      <c r="G38" s="447" t="s">
        <v>427</v>
      </c>
      <c r="I38" s="206">
        <f>SUM(I39:I41)</f>
        <v>392342147.19999999</v>
      </c>
      <c r="J38" s="206">
        <f t="shared" ref="J38:L38" si="7">SUM(J39:J41)</f>
        <v>451426417.24000001</v>
      </c>
      <c r="K38" s="206">
        <f t="shared" si="7"/>
        <v>-275454991.68999994</v>
      </c>
      <c r="L38" s="206">
        <f t="shared" si="7"/>
        <v>0</v>
      </c>
      <c r="M38" s="266">
        <f>SUM(M39:M41)</f>
        <v>175971425.55000007</v>
      </c>
      <c r="N38" s="501">
        <f t="shared" si="3"/>
        <v>216370721.64999992</v>
      </c>
    </row>
    <row r="39" spans="2:19" hidden="1" x14ac:dyDescent="0.2">
      <c r="D39" s="205" t="s">
        <v>242</v>
      </c>
      <c r="E39" s="518">
        <v>1030301000</v>
      </c>
      <c r="F39" s="205"/>
      <c r="I39" s="203">
        <f>VLOOKUP(E39,'FC1-Post TB 2024'!$C$10:$F$122,4,FALSE)</f>
        <v>0</v>
      </c>
      <c r="J39" s="203">
        <f>VLOOKUP($E39,'Restated FC1-Pre TB 2023'!$C$10:$D$271,2,FALSE)</f>
        <v>0</v>
      </c>
      <c r="K39" s="203">
        <f t="shared" ref="K39:K41" si="8">M39-J39</f>
        <v>0</v>
      </c>
      <c r="M39" s="239">
        <f>VLOOKUP($E39,'Restated FC1-Post TB 2023'!$C$10:$D$120,2,FALSE)</f>
        <v>0</v>
      </c>
      <c r="N39" s="198">
        <f t="shared" si="3"/>
        <v>0</v>
      </c>
    </row>
    <row r="40" spans="2:19" hidden="1" x14ac:dyDescent="0.2">
      <c r="D40" s="205" t="s">
        <v>8</v>
      </c>
      <c r="E40" s="518">
        <v>1030302000</v>
      </c>
      <c r="F40" s="205"/>
      <c r="I40" s="203">
        <f>VLOOKUP(E40,'FC1-Post TB 2024'!$C$10:$F$122,4,FALSE)</f>
        <v>0</v>
      </c>
      <c r="J40" s="203">
        <f>VLOOKUP($E40,'Restated FC1-Pre TB 2023'!$C$10:$D$271,2,FALSE)</f>
        <v>0</v>
      </c>
      <c r="K40" s="203">
        <f t="shared" si="8"/>
        <v>0</v>
      </c>
      <c r="M40" s="239">
        <f>VLOOKUP($E40,'Restated FC1-Post TB 2023'!$C$10:$D$120,2,FALSE)</f>
        <v>0</v>
      </c>
      <c r="N40" s="198">
        <f t="shared" si="3"/>
        <v>0</v>
      </c>
    </row>
    <row r="41" spans="2:19" x14ac:dyDescent="0.2">
      <c r="D41" s="205" t="s">
        <v>241</v>
      </c>
      <c r="E41" s="518">
        <v>1030303000</v>
      </c>
      <c r="F41" s="205"/>
      <c r="I41" s="203">
        <f>VLOOKUP(E41,'FC1-Post TB 2024'!$C$10:$F$122,4,FALSE)</f>
        <v>392342147.19999999</v>
      </c>
      <c r="J41" s="203">
        <f>VLOOKUP($E41,'Restated FC1-Pre TB 2023'!$C$10:$D$271,2,FALSE)</f>
        <v>451426417.24000001</v>
      </c>
      <c r="K41" s="203">
        <f t="shared" si="8"/>
        <v>-275454991.68999994</v>
      </c>
      <c r="M41" s="239">
        <f>VLOOKUP($E41,'Restated FC1-Post TB 2023'!$C$10:$D$120,2,FALSE)</f>
        <v>175971425.55000007</v>
      </c>
      <c r="N41" s="198">
        <f t="shared" si="3"/>
        <v>216370721.64999992</v>
      </c>
      <c r="S41" s="198"/>
    </row>
    <row r="42" spans="2:19" x14ac:dyDescent="0.2">
      <c r="D42" s="205"/>
      <c r="E42" s="518"/>
      <c r="F42" s="205"/>
      <c r="M42" s="239"/>
    </row>
    <row r="43" spans="2:19" hidden="1" x14ac:dyDescent="0.2">
      <c r="C43" s="201" t="s">
        <v>341</v>
      </c>
      <c r="D43" s="205"/>
      <c r="E43" s="518"/>
      <c r="F43" s="205"/>
      <c r="I43" s="206">
        <f>SUM(I44)</f>
        <v>0</v>
      </c>
      <c r="J43" s="206">
        <f t="shared" ref="J43:K43" si="9">SUM(J44)</f>
        <v>0</v>
      </c>
      <c r="K43" s="206">
        <f t="shared" si="9"/>
        <v>0</v>
      </c>
      <c r="M43" s="267">
        <f>SUM(M44)</f>
        <v>0</v>
      </c>
      <c r="N43" s="500"/>
    </row>
    <row r="44" spans="2:19" hidden="1" x14ac:dyDescent="0.2">
      <c r="D44" s="205" t="s">
        <v>11</v>
      </c>
      <c r="E44" s="518">
        <v>1030405000</v>
      </c>
      <c r="F44" s="205"/>
      <c r="I44" s="203">
        <f>VLOOKUP(E44,'FC1-Post TB 2024'!$C$10:$F$122,4,FALSE)</f>
        <v>0</v>
      </c>
      <c r="J44" s="203">
        <f>VLOOKUP($E44,'Restated FC1-Pre TB 2023'!$C$10:$D$271,2,FALSE)</f>
        <v>0</v>
      </c>
      <c r="M44" s="239">
        <f>VLOOKUP($E44,'Restated FC1-Post TB 2023'!$C$10:$D$120,2,FALSE)</f>
        <v>0</v>
      </c>
    </row>
    <row r="45" spans="2:19" x14ac:dyDescent="0.2">
      <c r="D45" s="205"/>
      <c r="E45" s="518"/>
      <c r="F45" s="205"/>
      <c r="M45" s="239"/>
    </row>
    <row r="46" spans="2:19" x14ac:dyDescent="0.2">
      <c r="C46" s="201" t="s">
        <v>13</v>
      </c>
      <c r="D46" s="205"/>
      <c r="E46" s="518"/>
      <c r="F46" s="205"/>
      <c r="G46" s="447" t="s">
        <v>428</v>
      </c>
      <c r="I46" s="206">
        <f>SUM(I47:I49)</f>
        <v>28438434.66</v>
      </c>
      <c r="J46" s="206">
        <f t="shared" ref="J46:K46" si="10">SUM(J47:J49)</f>
        <v>54575741.270000003</v>
      </c>
      <c r="K46" s="206">
        <f t="shared" si="10"/>
        <v>-26124531.469999999</v>
      </c>
      <c r="M46" s="266">
        <f>SUM(M47:M49)</f>
        <v>28451209.800000001</v>
      </c>
      <c r="N46" s="501">
        <f t="shared" si="3"/>
        <v>-12775.140000000596</v>
      </c>
    </row>
    <row r="47" spans="2:19" x14ac:dyDescent="0.2">
      <c r="D47" s="205" t="s">
        <v>5</v>
      </c>
      <c r="E47" s="518">
        <v>1039902000</v>
      </c>
      <c r="F47" s="205"/>
      <c r="I47" s="203">
        <f>VLOOKUP(E47,'FC1-Post TB 2024'!$C$10:$F$122,4,FALSE)</f>
        <v>1500</v>
      </c>
      <c r="J47" s="203">
        <f>VLOOKUP($E47,'Restated FC1-Pre TB 2023'!$C$10:$D$271,2,FALSE)</f>
        <v>12437.02</v>
      </c>
      <c r="K47" s="203">
        <f t="shared" ref="K47:K49" si="11">M47-J47</f>
        <v>0</v>
      </c>
      <c r="M47" s="239">
        <f>VLOOKUP($E47,'Restated FC1-Post TB 2023'!$C$10:$D$120,2,FALSE)</f>
        <v>12437.02</v>
      </c>
      <c r="N47" s="198">
        <f t="shared" si="3"/>
        <v>-10937.02</v>
      </c>
    </row>
    <row r="48" spans="2:19" x14ac:dyDescent="0.2">
      <c r="D48" s="205" t="s">
        <v>487</v>
      </c>
      <c r="E48" s="518">
        <v>1039903000</v>
      </c>
      <c r="F48" s="205"/>
      <c r="I48" s="203">
        <f>VLOOKUP(E48,'FC1-Post TB 2024'!$C$10:$F$122,4,FALSE)</f>
        <v>28436934.66</v>
      </c>
      <c r="J48" s="203">
        <f>VLOOKUP($E48,'Restated FC1-Pre TB 2023'!$C$10:$D$271,2,FALSE)</f>
        <v>54562085.899999999</v>
      </c>
      <c r="K48" s="203">
        <f t="shared" si="11"/>
        <v>-26124531.469999999</v>
      </c>
      <c r="M48" s="239">
        <f>VLOOKUP($E48,'Restated FC1-Post TB 2023'!$C$10:$D$120,2,FALSE)</f>
        <v>28437554.43</v>
      </c>
      <c r="N48" s="198">
        <f t="shared" si="3"/>
        <v>-619.76999999955297</v>
      </c>
    </row>
    <row r="49" spans="2:31" x14ac:dyDescent="0.2">
      <c r="D49" s="205" t="s">
        <v>13</v>
      </c>
      <c r="E49" s="518">
        <v>1039999000</v>
      </c>
      <c r="F49" s="205"/>
      <c r="I49" s="203">
        <f>VLOOKUP(E49,'FC1-Post TB 2024'!$C$10:$F$122,4,FALSE)</f>
        <v>0</v>
      </c>
      <c r="J49" s="203">
        <f>VLOOKUP($E49,'Restated FC1-Pre TB 2023'!$C$10:$D$271,2,FALSE)</f>
        <v>1218.3499999999999</v>
      </c>
      <c r="K49" s="203">
        <f t="shared" si="11"/>
        <v>0</v>
      </c>
      <c r="M49" s="239">
        <f>VLOOKUP($E49,'Restated FC1-Post TB 2023'!$C$10:$D$120,2,FALSE)</f>
        <v>1218.3499999999999</v>
      </c>
      <c r="N49" s="198">
        <f t="shared" si="3"/>
        <v>-1218.3499999999999</v>
      </c>
      <c r="P49" s="198">
        <v>6718500</v>
      </c>
      <c r="Q49" s="199" t="s">
        <v>468</v>
      </c>
    </row>
    <row r="50" spans="2:31" x14ac:dyDescent="0.2">
      <c r="D50" s="205"/>
      <c r="E50" s="518"/>
      <c r="F50" s="205"/>
      <c r="I50" s="207"/>
      <c r="J50" s="207"/>
      <c r="K50" s="207"/>
      <c r="M50" s="239"/>
      <c r="N50" s="198">
        <f t="shared" si="3"/>
        <v>0</v>
      </c>
      <c r="O50" s="198">
        <v>686217.54000020027</v>
      </c>
      <c r="P50" s="198">
        <v>25034339.039999999</v>
      </c>
      <c r="Q50" s="199" t="s">
        <v>469</v>
      </c>
    </row>
    <row r="51" spans="2:31" x14ac:dyDescent="0.2">
      <c r="B51" s="201" t="s">
        <v>186</v>
      </c>
      <c r="E51" s="518"/>
      <c r="G51" s="447" t="s">
        <v>429</v>
      </c>
      <c r="I51" s="206">
        <f>SUM(I53,I67,I58,I77)</f>
        <v>218928274.36000001</v>
      </c>
      <c r="J51" s="206">
        <f t="shared" ref="J51:K51" si="12">SUM(J53,J67,J58,J77)</f>
        <v>833052702.43999994</v>
      </c>
      <c r="K51" s="206">
        <f t="shared" si="12"/>
        <v>-779650584.51999998</v>
      </c>
      <c r="M51" s="266">
        <f>SUM(M53,M67,M58,M77)</f>
        <v>53402117.919999994</v>
      </c>
      <c r="N51" s="501">
        <f t="shared" si="3"/>
        <v>165526156.44000003</v>
      </c>
      <c r="P51" s="198">
        <v>5897023.96</v>
      </c>
    </row>
    <row r="52" spans="2:31" hidden="1" x14ac:dyDescent="0.2">
      <c r="B52" s="201"/>
      <c r="E52" s="518"/>
      <c r="I52" s="207"/>
      <c r="J52" s="207"/>
      <c r="K52" s="207"/>
      <c r="M52" s="239"/>
      <c r="N52" s="198">
        <f t="shared" si="3"/>
        <v>0</v>
      </c>
    </row>
    <row r="53" spans="2:31" x14ac:dyDescent="0.2">
      <c r="C53" s="210" t="s">
        <v>277</v>
      </c>
      <c r="D53" s="210"/>
      <c r="E53" s="518"/>
      <c r="F53" s="205"/>
      <c r="I53" s="206">
        <f>I54+I55+I56</f>
        <v>196886185.46000001</v>
      </c>
      <c r="J53" s="206">
        <f t="shared" ref="J53:L53" si="13">J54+J55+J56</f>
        <v>808245350</v>
      </c>
      <c r="K53" s="206">
        <f t="shared" si="13"/>
        <v>-765471352.68000007</v>
      </c>
      <c r="L53" s="206">
        <f t="shared" si="13"/>
        <v>0</v>
      </c>
      <c r="M53" s="266">
        <f>M54+M55+M56</f>
        <v>42773997.319999993</v>
      </c>
      <c r="N53" s="501">
        <f t="shared" si="3"/>
        <v>154112188.14000002</v>
      </c>
      <c r="R53" s="198">
        <f>I53-1191652393.96</f>
        <v>-994766208.5</v>
      </c>
      <c r="S53" s="198"/>
      <c r="V53" s="199"/>
    </row>
    <row r="54" spans="2:31" x14ac:dyDescent="0.2">
      <c r="D54" s="210" t="s">
        <v>240</v>
      </c>
      <c r="E54" s="518">
        <v>1040202000</v>
      </c>
      <c r="F54" s="205"/>
      <c r="I54" s="203">
        <f>VLOOKUP(E54,'FC1-Post TB 2024'!$C$10:$F$122,4,FALSE)</f>
        <v>90552093.180000007</v>
      </c>
      <c r="J54" s="203">
        <f>VLOOKUP($E54,'Restated FC1-Pre TB 2023'!$C$10:$D$271,2,FALSE)</f>
        <v>317294773.91000003</v>
      </c>
      <c r="K54" s="203">
        <f t="shared" ref="K54:K56" si="14">M54-J54</f>
        <v>-274599996.59000003</v>
      </c>
      <c r="M54" s="239">
        <f>VLOOKUP($E54,'Restated FC1-Post TB 2023'!$C$10:$D$120,2,FALSE)</f>
        <v>42694777.319999993</v>
      </c>
      <c r="N54" s="198">
        <f t="shared" si="3"/>
        <v>47857315.860000014</v>
      </c>
      <c r="S54" s="198"/>
    </row>
    <row r="55" spans="2:31" x14ac:dyDescent="0.2">
      <c r="D55" s="210" t="s">
        <v>238</v>
      </c>
      <c r="E55" s="518">
        <v>1040299000</v>
      </c>
      <c r="F55" s="205"/>
      <c r="I55" s="203">
        <f>VLOOKUP(E55,'FC1-Post TB 2024'!$C$10:$F$122,4,FALSE)</f>
        <v>106254872.28</v>
      </c>
      <c r="J55" s="203">
        <f>VLOOKUP($E55,'Restated FC1-Pre TB 2023'!$C$10:$D$271,2,FALSE)</f>
        <v>490871356.08999997</v>
      </c>
      <c r="K55" s="203">
        <f t="shared" si="14"/>
        <v>-490871356.08999997</v>
      </c>
      <c r="M55" s="239">
        <f>VLOOKUP($E55,'Restated FC1-Post TB 2023'!$C$10:$D$120,2,FALSE)</f>
        <v>0</v>
      </c>
      <c r="N55" s="198">
        <f t="shared" si="3"/>
        <v>106254872.28</v>
      </c>
    </row>
    <row r="56" spans="2:31" x14ac:dyDescent="0.2">
      <c r="D56" s="210" t="s">
        <v>239</v>
      </c>
      <c r="E56" s="518">
        <v>1040204000</v>
      </c>
      <c r="F56" s="205"/>
      <c r="I56" s="203">
        <f>VLOOKUP(E56,'FC1-Post TB 2024'!$C$10:$F$122,4,FALSE)</f>
        <v>79220</v>
      </c>
      <c r="J56" s="203">
        <f>VLOOKUP($E56,'Restated FC1-Pre TB 2023'!$C$10:$D$271,2,FALSE)</f>
        <v>79220</v>
      </c>
      <c r="K56" s="203">
        <f t="shared" si="14"/>
        <v>0</v>
      </c>
      <c r="M56" s="239">
        <f>VLOOKUP($E56,'Restated FC1-Post TB 2023'!$C$10:$D$120,2,FALSE)</f>
        <v>79220</v>
      </c>
      <c r="N56" s="198">
        <f t="shared" si="3"/>
        <v>0</v>
      </c>
    </row>
    <row r="57" spans="2:31" hidden="1" x14ac:dyDescent="0.2">
      <c r="D57" s="210"/>
      <c r="E57" s="518"/>
      <c r="F57" s="205"/>
      <c r="M57" s="239"/>
      <c r="N57" s="198">
        <f t="shared" si="3"/>
        <v>0</v>
      </c>
    </row>
    <row r="58" spans="2:31" x14ac:dyDescent="0.2">
      <c r="C58" s="201" t="s">
        <v>278</v>
      </c>
      <c r="D58" s="210"/>
      <c r="E58" s="518"/>
      <c r="F58" s="205"/>
      <c r="I58" s="206">
        <f>SUM(I59:I65)</f>
        <v>17569318.530000001</v>
      </c>
      <c r="J58" s="206">
        <f t="shared" ref="J58:L58" si="15">SUM(J59:J65)</f>
        <v>21488039.27</v>
      </c>
      <c r="K58" s="206">
        <f t="shared" si="15"/>
        <v>-11948926.420000002</v>
      </c>
      <c r="L58" s="206">
        <f t="shared" si="15"/>
        <v>0</v>
      </c>
      <c r="M58" s="266">
        <f>SUM(M59:M65)</f>
        <v>9539112.8499999996</v>
      </c>
      <c r="N58" s="501">
        <f t="shared" si="3"/>
        <v>8030205.6800000016</v>
      </c>
      <c r="R58" s="198">
        <f>10751536.44-I58</f>
        <v>-6817782.0900000017</v>
      </c>
      <c r="S58" s="198"/>
    </row>
    <row r="59" spans="2:31" x14ac:dyDescent="0.2">
      <c r="D59" s="210" t="s">
        <v>14</v>
      </c>
      <c r="E59" s="518">
        <v>1040401000</v>
      </c>
      <c r="F59" s="205"/>
      <c r="I59" s="203">
        <f>VLOOKUP(E59,'FC1-Post TB 2024'!$C$10:$F$122,4,FALSE)</f>
        <v>3103412.7</v>
      </c>
      <c r="J59" s="203">
        <f>VLOOKUP($E59,'Restated FC1-Pre TB 2023'!$C$10:$D$271,2,FALSE)</f>
        <v>7050577.1299999999</v>
      </c>
      <c r="K59" s="203">
        <f t="shared" ref="K59:K65" si="16">M59-J59</f>
        <v>-7050577.1299999999</v>
      </c>
      <c r="M59" s="239">
        <f>VLOOKUP($E59,'Restated FC1-Post TB 2023'!$C$10:$D$120,2,FALSE)</f>
        <v>0</v>
      </c>
      <c r="N59" s="198">
        <f t="shared" si="3"/>
        <v>3103412.7</v>
      </c>
      <c r="S59" s="198"/>
      <c r="AE59" s="217"/>
    </row>
    <row r="60" spans="2:31" x14ac:dyDescent="0.2">
      <c r="D60" s="210" t="s">
        <v>15</v>
      </c>
      <c r="E60" s="518">
        <v>1040405000</v>
      </c>
      <c r="F60" s="205"/>
      <c r="I60" s="203">
        <f>VLOOKUP(E60,'FC1-Post TB 2024'!$C$10:$F$122,4,FALSE)</f>
        <v>10310298.550000001</v>
      </c>
      <c r="J60" s="203">
        <f>VLOOKUP($E60,'Restated FC1-Pre TB 2023'!$C$10:$D$271,2,FALSE)</f>
        <v>9367004.7599999998</v>
      </c>
      <c r="K60" s="203">
        <f t="shared" si="16"/>
        <v>-2513747.46</v>
      </c>
      <c r="M60" s="239">
        <f>VLOOKUP($E60,'Restated FC1-Post TB 2023'!$C$10:$D$120,2,FALSE)</f>
        <v>6853257.2999999998</v>
      </c>
      <c r="N60" s="198">
        <f t="shared" si="3"/>
        <v>3457041.2500000009</v>
      </c>
      <c r="AE60" s="217"/>
    </row>
    <row r="61" spans="2:31" x14ac:dyDescent="0.2">
      <c r="D61" s="210" t="s">
        <v>16</v>
      </c>
      <c r="E61" s="518">
        <v>1040406000</v>
      </c>
      <c r="F61" s="205"/>
      <c r="I61" s="203">
        <f>VLOOKUP(E61,'FC1-Post TB 2024'!$C$10:$F$122,4,FALSE)</f>
        <v>365376.47</v>
      </c>
      <c r="J61" s="203">
        <f>VLOOKUP($E61,'Restated FC1-Pre TB 2023'!$C$10:$D$271,2,FALSE)</f>
        <v>245837.05</v>
      </c>
      <c r="K61" s="203">
        <f t="shared" si="16"/>
        <v>-245837.05</v>
      </c>
      <c r="M61" s="239">
        <f>VLOOKUP($E61,'Restated FC1-Post TB 2023'!$C$10:$D$120,2,FALSE)</f>
        <v>0</v>
      </c>
      <c r="N61" s="198">
        <f t="shared" si="3"/>
        <v>365376.47</v>
      </c>
      <c r="AE61" s="217"/>
    </row>
    <row r="62" spans="2:31" x14ac:dyDescent="0.2">
      <c r="D62" s="210" t="s">
        <v>377</v>
      </c>
      <c r="E62" s="518">
        <v>1040407000</v>
      </c>
      <c r="F62" s="205"/>
      <c r="I62" s="203">
        <f>VLOOKUP(E62,'FC1-Post TB 2024'!$C$10:$F$122,4,FALSE)</f>
        <v>688133.12</v>
      </c>
      <c r="J62" s="203">
        <f>VLOOKUP($E62,'Restated FC1-Pre TB 2023'!$C$10:$D$271,2,FALSE)</f>
        <v>396886.33</v>
      </c>
      <c r="K62" s="203">
        <f t="shared" si="16"/>
        <v>-133184.75</v>
      </c>
      <c r="M62" s="239">
        <f>VLOOKUP($E62,'Restated FC1-Post TB 2023'!$C$10:$D$120,2,FALSE)</f>
        <v>263701.58</v>
      </c>
      <c r="N62" s="198">
        <f t="shared" si="3"/>
        <v>424431.54</v>
      </c>
      <c r="AE62" s="217"/>
    </row>
    <row r="63" spans="2:31" ht="12.75" customHeight="1" x14ac:dyDescent="0.2">
      <c r="D63" s="210" t="s">
        <v>17</v>
      </c>
      <c r="E63" s="518">
        <v>1040408000</v>
      </c>
      <c r="F63" s="205"/>
      <c r="I63" s="203">
        <f>VLOOKUP(E63,'FC1-Post TB 2024'!$C$10:$F$122,4,FALSE)</f>
        <v>75000</v>
      </c>
      <c r="J63" s="203">
        <f>VLOOKUP($E63,'Restated FC1-Pre TB 2023'!$C$10:$D$271,2,FALSE)</f>
        <v>75000</v>
      </c>
      <c r="K63" s="203">
        <f t="shared" si="16"/>
        <v>0</v>
      </c>
      <c r="M63" s="239">
        <f>VLOOKUP($E63,'Restated FC1-Post TB 2023'!$C$10:$D$120,2,FALSE)</f>
        <v>75000</v>
      </c>
      <c r="N63" s="198">
        <f t="shared" si="3"/>
        <v>0</v>
      </c>
      <c r="AE63" s="217"/>
    </row>
    <row r="64" spans="2:31" x14ac:dyDescent="0.2">
      <c r="D64" s="210" t="s">
        <v>538</v>
      </c>
      <c r="E64" s="518">
        <v>1040499000</v>
      </c>
      <c r="F64" s="205"/>
      <c r="I64" s="203">
        <f>VLOOKUP(E64,'FC1-Post TB 2024'!$C$10:$F$122,4,FALSE)</f>
        <v>3027097.69</v>
      </c>
      <c r="J64" s="203">
        <f>VLOOKUP($E64,'Restated FC1-Pre TB 2023'!$C$10:$D$271,2,FALSE)</f>
        <v>4352734</v>
      </c>
      <c r="K64" s="203">
        <f t="shared" si="16"/>
        <v>-2005580.0300000003</v>
      </c>
      <c r="M64" s="239">
        <f>VLOOKUP($E64,'Restated FC1-Post TB 2023'!$C$10:$D$120,2,FALSE)</f>
        <v>2347153.9699999997</v>
      </c>
      <c r="N64" s="198">
        <f t="shared" si="3"/>
        <v>679943.7200000002</v>
      </c>
      <c r="AE64" s="217"/>
    </row>
    <row r="65" spans="2:19" hidden="1" x14ac:dyDescent="0.2">
      <c r="D65" s="210" t="s">
        <v>18</v>
      </c>
      <c r="E65" s="518">
        <v>1040413000</v>
      </c>
      <c r="F65" s="205"/>
      <c r="I65" s="203">
        <f>VLOOKUP(E65,'FC1-Post TB 2024'!$C$10:$F$122,4,FALSE)</f>
        <v>0</v>
      </c>
      <c r="J65" s="203">
        <f>VLOOKUP($E65,'Restated FC1-Pre TB 2023'!$C$10:$D$271,2,FALSE)</f>
        <v>0</v>
      </c>
      <c r="K65" s="203">
        <f t="shared" si="16"/>
        <v>0</v>
      </c>
      <c r="M65" s="239">
        <f>VLOOKUP($E65,'Restated FC1-Post TB 2023'!$C$10:$D$120,2,FALSE)</f>
        <v>0</v>
      </c>
      <c r="N65" s="198">
        <f t="shared" si="3"/>
        <v>0</v>
      </c>
    </row>
    <row r="66" spans="2:19" hidden="1" x14ac:dyDescent="0.2">
      <c r="D66" s="210"/>
      <c r="E66" s="518"/>
      <c r="F66" s="205"/>
      <c r="I66" s="207"/>
      <c r="J66" s="207"/>
      <c r="K66" s="207"/>
      <c r="M66" s="239"/>
      <c r="N66" s="198">
        <f t="shared" si="3"/>
        <v>0</v>
      </c>
    </row>
    <row r="67" spans="2:19" x14ac:dyDescent="0.2">
      <c r="C67" s="201" t="s">
        <v>343</v>
      </c>
      <c r="D67" s="210"/>
      <c r="E67" s="518"/>
      <c r="F67" s="205"/>
      <c r="I67" s="206">
        <f>SUM(I68:I75)</f>
        <v>3719791.87</v>
      </c>
      <c r="J67" s="206">
        <f t="shared" ref="J67:K67" si="17">SUM(J68:J75)</f>
        <v>2183596.92</v>
      </c>
      <c r="K67" s="206">
        <f t="shared" si="17"/>
        <v>-1295111.42</v>
      </c>
      <c r="M67" s="266">
        <f>SUM(M68:M75)</f>
        <v>888485.5</v>
      </c>
      <c r="N67" s="501">
        <f t="shared" si="3"/>
        <v>2831306.37</v>
      </c>
      <c r="R67" s="198">
        <f>I67-6622703.46</f>
        <v>-2902911.59</v>
      </c>
      <c r="S67" s="198"/>
    </row>
    <row r="68" spans="2:19" x14ac:dyDescent="0.2">
      <c r="D68" s="210" t="s">
        <v>488</v>
      </c>
      <c r="E68" s="518">
        <v>1040599000</v>
      </c>
      <c r="F68" s="205"/>
      <c r="I68" s="203">
        <f>VLOOKUP(E68,'FC1-Post TB 2024'!$C$10:$F$122,4,FALSE)</f>
        <v>25570</v>
      </c>
      <c r="J68" s="203">
        <f>VLOOKUP($E68,'Restated FC1-Pre TB 2023'!$C$10:$D$271,2,FALSE)</f>
        <v>146821.5</v>
      </c>
      <c r="K68" s="203">
        <f t="shared" ref="K68:K75" si="18">M68-J68</f>
        <v>178615</v>
      </c>
      <c r="M68" s="239">
        <f>VLOOKUP($E68,'Restated FC1-Post TB 2023'!$C$10:$D$120,2,FALSE)</f>
        <v>325436.5</v>
      </c>
      <c r="N68" s="198">
        <f t="shared" si="3"/>
        <v>-299866.5</v>
      </c>
      <c r="S68" s="198"/>
    </row>
    <row r="69" spans="2:19" x14ac:dyDescent="0.2">
      <c r="D69" s="210" t="s">
        <v>344</v>
      </c>
      <c r="E69" s="518">
        <v>1040501000</v>
      </c>
      <c r="F69" s="205"/>
      <c r="I69" s="203">
        <f>VLOOKUP(E69,'FC1-Post TB 2024'!$C$10:$F$122,4,FALSE)</f>
        <v>0</v>
      </c>
      <c r="J69" s="203">
        <f>VLOOKUP($E69,'Restated FC1-Pre TB 2023'!$C$10:$D$271,2,FALSE)</f>
        <v>224600</v>
      </c>
      <c r="K69" s="203">
        <f t="shared" si="18"/>
        <v>-59670</v>
      </c>
      <c r="M69" s="239">
        <f>VLOOKUP($E69,'Restated FC1-Post TB 2023'!$C$10:$D$120,2,FALSE)</f>
        <v>164930</v>
      </c>
      <c r="N69" s="198">
        <f t="shared" si="3"/>
        <v>-164930</v>
      </c>
    </row>
    <row r="70" spans="2:19" x14ac:dyDescent="0.2">
      <c r="D70" s="210" t="s">
        <v>345</v>
      </c>
      <c r="E70" s="518">
        <v>1040502000</v>
      </c>
      <c r="F70" s="205"/>
      <c r="I70" s="203">
        <f>VLOOKUP(E70,'FC1-Post TB 2024'!$C$10:$F$122,4,FALSE)</f>
        <v>135898</v>
      </c>
      <c r="J70" s="203">
        <f>VLOOKUP($E70,'Restated FC1-Pre TB 2023'!$C$10:$D$271,2,FALSE)</f>
        <v>523215</v>
      </c>
      <c r="K70" s="203">
        <f t="shared" si="18"/>
        <v>-155946</v>
      </c>
      <c r="M70" s="239">
        <f>VLOOKUP($E70,'Restated FC1-Post TB 2023'!$C$10:$D$120,2,FALSE)</f>
        <v>367269</v>
      </c>
      <c r="N70" s="198">
        <f t="shared" si="3"/>
        <v>-231371</v>
      </c>
    </row>
    <row r="71" spans="2:19" x14ac:dyDescent="0.2">
      <c r="D71" s="210" t="s">
        <v>347</v>
      </c>
      <c r="E71" s="518">
        <v>1040510000</v>
      </c>
      <c r="F71" s="205"/>
      <c r="I71" s="203">
        <f>VLOOKUP(E71,'FC1-Post TB 2024'!$C$10:$F$122,4,FALSE)</f>
        <v>3900</v>
      </c>
      <c r="J71" s="203">
        <f>VLOOKUP($E71,'Restated FC1-Pre TB 2023'!$C$10:$D$271,2,FALSE)</f>
        <v>79093</v>
      </c>
      <c r="K71" s="203">
        <f t="shared" si="18"/>
        <v>-79093</v>
      </c>
      <c r="M71" s="239">
        <f>VLOOKUP($E71,'Restated FC1-Post TB 2023'!$C$10:$D$120,2,FALSE)</f>
        <v>0</v>
      </c>
      <c r="N71" s="198">
        <f t="shared" si="3"/>
        <v>3900</v>
      </c>
    </row>
    <row r="72" spans="2:19" x14ac:dyDescent="0.2">
      <c r="D72" s="210" t="s">
        <v>367</v>
      </c>
      <c r="E72" s="518">
        <v>1040507000</v>
      </c>
      <c r="F72" s="205"/>
      <c r="I72" s="203">
        <f>VLOOKUP(E72,'FC1-Post TB 2024'!$C$10:$F$122,4,FALSE)</f>
        <v>8490</v>
      </c>
      <c r="J72" s="203">
        <f>VLOOKUP($E72,'Restated FC1-Pre TB 2023'!$C$10:$D$271,2,FALSE)</f>
        <v>0</v>
      </c>
      <c r="K72" s="203">
        <f t="shared" si="18"/>
        <v>0</v>
      </c>
      <c r="M72" s="239">
        <f>VLOOKUP($E72,'Restated FC1-Post TB 2023'!$C$10:$D$120,2,FALSE)</f>
        <v>0</v>
      </c>
      <c r="N72" s="198">
        <f t="shared" si="3"/>
        <v>8490</v>
      </c>
    </row>
    <row r="73" spans="2:19" x14ac:dyDescent="0.2">
      <c r="D73" s="210" t="s">
        <v>346</v>
      </c>
      <c r="E73" s="518">
        <v>1040503000</v>
      </c>
      <c r="F73" s="205"/>
      <c r="I73" s="203">
        <f>VLOOKUP(E73,'FC1-Post TB 2024'!$C$10:$F$122,4,FALSE)</f>
        <v>3545933.87</v>
      </c>
      <c r="J73" s="203">
        <f>VLOOKUP($E73,'Restated FC1-Pre TB 2023'!$C$10:$D$271,2,FALSE)</f>
        <v>1156554.42</v>
      </c>
      <c r="K73" s="203">
        <f t="shared" si="18"/>
        <v>-1125704.42</v>
      </c>
      <c r="M73" s="239">
        <f>VLOOKUP($E73,'Restated FC1-Post TB 2023'!$C$10:$D$120,2,FALSE)</f>
        <v>30850</v>
      </c>
      <c r="N73" s="198">
        <f t="shared" si="3"/>
        <v>3515083.87</v>
      </c>
    </row>
    <row r="74" spans="2:19" hidden="1" x14ac:dyDescent="0.2">
      <c r="D74" s="210" t="s">
        <v>362</v>
      </c>
      <c r="E74" s="518">
        <v>1040512000</v>
      </c>
      <c r="F74" s="205"/>
      <c r="I74" s="203">
        <f>VLOOKUP(E74,'FC1-Post TB 2024'!$C$10:$F$122,4,FALSE)</f>
        <v>0</v>
      </c>
      <c r="J74" s="203">
        <f>VLOOKUP($E74,'Restated FC1-Pre TB 2023'!$C$10:$D$271,2,FALSE)</f>
        <v>53313</v>
      </c>
      <c r="K74" s="203">
        <f t="shared" si="18"/>
        <v>-53313</v>
      </c>
      <c r="M74" s="239">
        <f>VLOOKUP($E74,'Restated FC1-Post TB 2023'!$C$10:$D$120,2,FALSE)</f>
        <v>0</v>
      </c>
      <c r="N74" s="198">
        <f t="shared" si="3"/>
        <v>0</v>
      </c>
    </row>
    <row r="75" spans="2:19" hidden="1" x14ac:dyDescent="0.2">
      <c r="D75" s="210" t="s">
        <v>349</v>
      </c>
      <c r="E75" s="518">
        <v>1040513000</v>
      </c>
      <c r="F75" s="205"/>
      <c r="I75" s="203">
        <f>VLOOKUP(E75,'FC1-Post TB 2024'!$C$10:$F$122,4,FALSE)</f>
        <v>0</v>
      </c>
      <c r="J75" s="203">
        <f>VLOOKUP($E75,'Restated FC1-Pre TB 2023'!$C$10:$D$271,2,FALSE)</f>
        <v>0</v>
      </c>
      <c r="K75" s="203">
        <f t="shared" si="18"/>
        <v>0</v>
      </c>
      <c r="M75" s="239">
        <f>VLOOKUP($E75,'Restated FC1-Post TB 2023'!$C$10:$D$120,2,FALSE)</f>
        <v>0</v>
      </c>
      <c r="N75" s="198">
        <f t="shared" si="3"/>
        <v>0</v>
      </c>
    </row>
    <row r="76" spans="2:19" hidden="1" x14ac:dyDescent="0.2">
      <c r="D76" s="210"/>
      <c r="E76" s="518"/>
      <c r="F76" s="205"/>
      <c r="M76" s="239"/>
      <c r="N76" s="198">
        <f t="shared" si="3"/>
        <v>0</v>
      </c>
    </row>
    <row r="77" spans="2:19" x14ac:dyDescent="0.2">
      <c r="C77" s="201" t="s">
        <v>350</v>
      </c>
      <c r="D77" s="201"/>
      <c r="E77" s="518"/>
      <c r="F77" s="205"/>
      <c r="I77" s="206">
        <f>I78</f>
        <v>752978.5</v>
      </c>
      <c r="J77" s="206">
        <f t="shared" ref="J77:K77" si="19">J78</f>
        <v>1135716.25</v>
      </c>
      <c r="K77" s="206">
        <f t="shared" si="19"/>
        <v>-935194</v>
      </c>
      <c r="L77" s="212"/>
      <c r="M77" s="266">
        <f>M78</f>
        <v>200522.25</v>
      </c>
      <c r="N77" s="501">
        <f t="shared" si="3"/>
        <v>552456.25</v>
      </c>
      <c r="R77" s="198">
        <f>I77-6030733</f>
        <v>-5277754.5</v>
      </c>
      <c r="S77" s="198"/>
    </row>
    <row r="78" spans="2:19" x14ac:dyDescent="0.2">
      <c r="D78" s="201" t="s">
        <v>350</v>
      </c>
      <c r="E78" s="518">
        <v>1040601000</v>
      </c>
      <c r="F78" s="205"/>
      <c r="I78" s="203">
        <f>VLOOKUP(E78,'FC1-Post TB 2024'!$C$10:$F$122,4,FALSE)</f>
        <v>752978.5</v>
      </c>
      <c r="J78" s="203">
        <f>VLOOKUP($E78,'Restated FC1-Pre TB 2023'!$C$10:$D$271,2,FALSE)</f>
        <v>1135716.25</v>
      </c>
      <c r="K78" s="203">
        <f t="shared" ref="K78" si="20">M78-J78</f>
        <v>-935194</v>
      </c>
      <c r="M78" s="239">
        <f>VLOOKUP($E78,'Restated FC1-Post TB 2023'!$C$10:$D$120,2,FALSE)</f>
        <v>200522.25</v>
      </c>
      <c r="N78" s="198">
        <f t="shared" si="3"/>
        <v>552456.25</v>
      </c>
      <c r="R78" s="198"/>
      <c r="S78" s="198"/>
    </row>
    <row r="79" spans="2:19" x14ac:dyDescent="0.2">
      <c r="D79" s="210"/>
      <c r="E79" s="518"/>
      <c r="F79" s="205"/>
      <c r="I79" s="207"/>
      <c r="J79" s="207"/>
      <c r="K79" s="207"/>
      <c r="M79" s="239"/>
      <c r="R79" s="198"/>
    </row>
    <row r="80" spans="2:19" x14ac:dyDescent="0.2">
      <c r="B80" s="205" t="s">
        <v>275</v>
      </c>
      <c r="E80" s="518"/>
      <c r="G80" s="447" t="s">
        <v>430</v>
      </c>
      <c r="I80" s="206">
        <f>SUM(I82,I87,I94)</f>
        <v>22881091.139999997</v>
      </c>
      <c r="J80" s="206">
        <f t="shared" ref="J80:M80" si="21">SUM(J82,J87,J94)</f>
        <v>35117027.600000001</v>
      </c>
      <c r="K80" s="206">
        <f t="shared" si="21"/>
        <v>-31030888.689166635</v>
      </c>
      <c r="L80" s="206">
        <f t="shared" si="21"/>
        <v>0</v>
      </c>
      <c r="M80" s="206">
        <f t="shared" si="21"/>
        <v>4086138.9108333644</v>
      </c>
      <c r="N80" s="501">
        <f t="shared" si="3"/>
        <v>18794952.229166634</v>
      </c>
      <c r="P80" s="198">
        <v>2538886.06</v>
      </c>
    </row>
    <row r="81" spans="3:16" x14ac:dyDescent="0.2">
      <c r="E81" s="518"/>
      <c r="I81" s="213"/>
      <c r="J81" s="213"/>
      <c r="K81" s="213"/>
      <c r="M81" s="268"/>
    </row>
    <row r="82" spans="3:16" x14ac:dyDescent="0.2">
      <c r="C82" s="201" t="s">
        <v>357</v>
      </c>
      <c r="E82" s="518"/>
      <c r="G82" s="447" t="s">
        <v>445</v>
      </c>
      <c r="I82" s="206">
        <f>SUM(I83:I85)</f>
        <v>21337000</v>
      </c>
      <c r="J82" s="206">
        <f t="shared" ref="J82:L82" si="22">SUM(J83:J85)</f>
        <v>30640800</v>
      </c>
      <c r="K82" s="206">
        <f t="shared" si="22"/>
        <v>-30640800</v>
      </c>
      <c r="L82" s="206">
        <f t="shared" si="22"/>
        <v>0</v>
      </c>
      <c r="M82" s="266">
        <f>SUM(M83:M85)</f>
        <v>0</v>
      </c>
      <c r="N82" s="501">
        <f t="shared" ref="N82:N144" si="23">I82-M82</f>
        <v>21337000</v>
      </c>
    </row>
    <row r="83" spans="3:16" hidden="1" x14ac:dyDescent="0.2">
      <c r="D83" s="205" t="s">
        <v>228</v>
      </c>
      <c r="E83" s="518">
        <v>1990102000</v>
      </c>
      <c r="F83" s="205"/>
      <c r="I83" s="203">
        <f>VLOOKUP(E83,'FC1-Post TB 2024'!$C$10:$F$122,4,FALSE)</f>
        <v>0</v>
      </c>
      <c r="J83" s="203">
        <f>VLOOKUP($E83,'Restated FC1-Pre TB 2023'!$C$10:$D$271,2,FALSE)</f>
        <v>0</v>
      </c>
      <c r="K83" s="203">
        <f t="shared" ref="K83:K85" si="24">M83-J83</f>
        <v>0</v>
      </c>
      <c r="M83" s="239">
        <f>VLOOKUP($E83,'Restated FC1-Post TB 2023'!$C$10:$D$120,2,FALSE)</f>
        <v>0</v>
      </c>
      <c r="N83" s="198">
        <f t="shared" si="23"/>
        <v>0</v>
      </c>
      <c r="P83" s="198">
        <v>995691069.27999997</v>
      </c>
    </row>
    <row r="84" spans="3:16" x14ac:dyDescent="0.2">
      <c r="D84" s="205" t="s">
        <v>227</v>
      </c>
      <c r="E84" s="518">
        <v>1990103000</v>
      </c>
      <c r="F84" s="205"/>
      <c r="I84" s="203">
        <f>VLOOKUP(E84,'FC1-Post TB 2024'!$C$10:$F$122,4,FALSE)</f>
        <v>21337000</v>
      </c>
      <c r="J84" s="203">
        <f>VLOOKUP($E84,'Restated FC1-Pre TB 2023'!$C$10:$D$271,2,FALSE)</f>
        <v>30640800</v>
      </c>
      <c r="K84" s="203">
        <f t="shared" si="24"/>
        <v>-30640800</v>
      </c>
      <c r="M84" s="239">
        <f>VLOOKUP($E84,'Restated FC1-Post TB 2023'!$C$10:$D$120,2,FALSE)</f>
        <v>0</v>
      </c>
      <c r="N84" s="198">
        <f t="shared" si="23"/>
        <v>21337000</v>
      </c>
      <c r="P84" s="198">
        <v>995691069.27999997</v>
      </c>
    </row>
    <row r="85" spans="3:16" hidden="1" x14ac:dyDescent="0.2">
      <c r="D85" s="205" t="s">
        <v>12</v>
      </c>
      <c r="E85" s="518">
        <v>1990104000</v>
      </c>
      <c r="F85" s="205"/>
      <c r="I85" s="203">
        <f>VLOOKUP(E85,'FC1-Post TB 2024'!$C$10:$F$122,4,FALSE)</f>
        <v>0</v>
      </c>
      <c r="J85" s="203">
        <f>VLOOKUP($E85,'Restated FC1-Pre TB 2023'!$C$10:$D$271,2,FALSE)</f>
        <v>0</v>
      </c>
      <c r="K85" s="203">
        <f t="shared" si="24"/>
        <v>0</v>
      </c>
      <c r="M85" s="239">
        <f>VLOOKUP($E85,'Restated FC1-Post TB 2023'!$C$10:$D$120,2,FALSE)</f>
        <v>0</v>
      </c>
      <c r="N85" s="198">
        <f t="shared" si="23"/>
        <v>0</v>
      </c>
      <c r="P85" s="198">
        <v>32973253.34</v>
      </c>
    </row>
    <row r="86" spans="3:16" x14ac:dyDescent="0.2">
      <c r="D86" s="205"/>
      <c r="E86" s="518"/>
      <c r="F86" s="205"/>
      <c r="M86" s="239"/>
      <c r="N86" s="198">
        <f t="shared" si="23"/>
        <v>0</v>
      </c>
    </row>
    <row r="87" spans="3:16" x14ac:dyDescent="0.2">
      <c r="C87" s="201" t="s">
        <v>249</v>
      </c>
      <c r="E87" s="518"/>
      <c r="G87" s="447" t="s">
        <v>475</v>
      </c>
      <c r="I87" s="206">
        <f>SUM(I88:I92)</f>
        <v>982480.74</v>
      </c>
      <c r="J87" s="206">
        <f t="shared" ref="J87:K87" si="25">SUM(J88:J92)</f>
        <v>4415317.2</v>
      </c>
      <c r="K87" s="206">
        <f t="shared" si="25"/>
        <v>-390088.68916663527</v>
      </c>
      <c r="L87" s="207"/>
      <c r="M87" s="266">
        <f>SUM(M88:M92)</f>
        <v>4025228.5108333644</v>
      </c>
      <c r="N87" s="501">
        <f t="shared" si="23"/>
        <v>-3042747.7708333647</v>
      </c>
    </row>
    <row r="88" spans="3:16" x14ac:dyDescent="0.2">
      <c r="D88" s="205" t="s">
        <v>19</v>
      </c>
      <c r="E88" s="518">
        <v>1990299000</v>
      </c>
      <c r="F88" s="205"/>
      <c r="I88" s="203">
        <f>VLOOKUP(E88,'FC1-Post TB 2024'!$C$10:$F$122,4,FALSE)</f>
        <v>47350</v>
      </c>
      <c r="J88" s="203">
        <f>VLOOKUP($E88,'Restated FC1-Pre TB 2023'!$C$10:$D$271,2,FALSE)</f>
        <v>0</v>
      </c>
      <c r="K88" s="203">
        <f t="shared" ref="K88:K92" si="26">M88-J88</f>
        <v>0</v>
      </c>
      <c r="M88" s="239">
        <f>VLOOKUP($E88,'Restated FC1-Post TB 2023'!$C$10:$D$120,2,FALSE)</f>
        <v>0</v>
      </c>
      <c r="N88" s="198">
        <f t="shared" si="23"/>
        <v>47350</v>
      </c>
      <c r="P88" s="198">
        <f>SUM(P80:P85)</f>
        <v>2026894277.9599998</v>
      </c>
    </row>
    <row r="89" spans="3:16" x14ac:dyDescent="0.2">
      <c r="D89" s="205" t="s">
        <v>226</v>
      </c>
      <c r="E89" s="518">
        <v>1990201000</v>
      </c>
      <c r="F89" s="205"/>
      <c r="I89" s="203">
        <f>VLOOKUP(E89,'FC1-Post TB 2024'!$C$10:$F$122,4,FALSE)</f>
        <v>82068.67</v>
      </c>
      <c r="J89" s="203">
        <f>VLOOKUP($E89,'Restated FC1-Pre TB 2023'!$C$10:$D$271,2,FALSE)</f>
        <v>2924469.03</v>
      </c>
      <c r="K89" s="203">
        <f t="shared" si="26"/>
        <v>0</v>
      </c>
      <c r="M89" s="239">
        <f>VLOOKUP($E89,'Restated FC1-Post TB 2023'!$C$10:$D$120,2,FALSE)</f>
        <v>2924469.03</v>
      </c>
      <c r="N89" s="198">
        <f t="shared" si="23"/>
        <v>-2842400.36</v>
      </c>
    </row>
    <row r="90" spans="3:16" x14ac:dyDescent="0.2">
      <c r="D90" s="205" t="s">
        <v>224</v>
      </c>
      <c r="E90" s="518">
        <v>1990205000</v>
      </c>
      <c r="F90" s="205"/>
      <c r="I90" s="203">
        <f>VLOOKUP(E90,'FC1-Post TB 2024'!$C$10:$F$122,4,FALSE)</f>
        <v>748200.5</v>
      </c>
      <c r="J90" s="203">
        <f>VLOOKUP($E90,'Restated FC1-Pre TB 2023'!$C$10:$D$271,2,FALSE)</f>
        <v>1337586.6000000001</v>
      </c>
      <c r="K90" s="203">
        <f t="shared" si="26"/>
        <v>-390088.68916663527</v>
      </c>
      <c r="M90" s="239">
        <f>VLOOKUP($E90,'Restated FC1-Post TB 2023'!$C$10:$D$120,2,FALSE)</f>
        <v>947497.91083336482</v>
      </c>
      <c r="N90" s="198">
        <f t="shared" si="23"/>
        <v>-199297.41083336482</v>
      </c>
    </row>
    <row r="91" spans="3:16" hidden="1" x14ac:dyDescent="0.2">
      <c r="D91" s="205" t="s">
        <v>459</v>
      </c>
      <c r="E91" s="518">
        <v>1990210001</v>
      </c>
      <c r="F91" s="205"/>
      <c r="I91" s="203">
        <f>VLOOKUP(E91,'FC1-Post TB 2024'!$C$10:$F$122,4,FALSE)</f>
        <v>0</v>
      </c>
      <c r="J91" s="203">
        <f>VLOOKUP($E91,'Restated FC1-Pre TB 2023'!$C$10:$D$271,2,FALSE)</f>
        <v>0</v>
      </c>
      <c r="K91" s="203">
        <f t="shared" si="26"/>
        <v>0</v>
      </c>
      <c r="M91" s="239">
        <f>VLOOKUP($E91,'Restated FC1-Post TB 2023'!$C$10:$D$120,2,FALSE)</f>
        <v>0</v>
      </c>
      <c r="N91" s="198">
        <f t="shared" si="23"/>
        <v>0</v>
      </c>
    </row>
    <row r="92" spans="3:16" x14ac:dyDescent="0.2">
      <c r="D92" s="205" t="s">
        <v>225</v>
      </c>
      <c r="E92" s="518">
        <v>1990202000</v>
      </c>
      <c r="F92" s="205"/>
      <c r="I92" s="203">
        <f>VLOOKUP(E92,'FC1-Post TB 2024'!$C$10:$F$122,4,FALSE)</f>
        <v>104861.57</v>
      </c>
      <c r="J92" s="203">
        <f>VLOOKUP($E92,'Restated FC1-Pre TB 2023'!$C$10:$D$271,2,FALSE)</f>
        <v>153261.57</v>
      </c>
      <c r="K92" s="203">
        <f t="shared" si="26"/>
        <v>0</v>
      </c>
      <c r="M92" s="239">
        <f>VLOOKUP($E92,'Restated FC1-Post TB 2023'!$C$10:$D$120,2,FALSE)</f>
        <v>153261.57</v>
      </c>
      <c r="N92" s="198">
        <f t="shared" si="23"/>
        <v>-48400</v>
      </c>
    </row>
    <row r="93" spans="3:16" x14ac:dyDescent="0.2">
      <c r="D93" s="205"/>
      <c r="E93" s="518"/>
      <c r="F93" s="205"/>
      <c r="M93" s="239"/>
    </row>
    <row r="94" spans="3:16" x14ac:dyDescent="0.2">
      <c r="C94" s="201" t="s">
        <v>506</v>
      </c>
      <c r="D94" s="205"/>
      <c r="E94" s="518"/>
      <c r="F94" s="205"/>
      <c r="G94" s="450">
        <v>9.3000000000000007</v>
      </c>
      <c r="I94" s="206">
        <f>SUM(I95)</f>
        <v>561610.4</v>
      </c>
      <c r="J94" s="206">
        <f t="shared" ref="J94:L94" si="27">SUM(J95)</f>
        <v>60910.400000000001</v>
      </c>
      <c r="K94" s="206">
        <f t="shared" si="27"/>
        <v>0</v>
      </c>
      <c r="L94" s="206">
        <f t="shared" si="27"/>
        <v>0</v>
      </c>
      <c r="M94" s="206">
        <f>SUM(M95)</f>
        <v>60910.400000000001</v>
      </c>
      <c r="N94" s="501">
        <f t="shared" si="23"/>
        <v>500700</v>
      </c>
    </row>
    <row r="95" spans="3:16" x14ac:dyDescent="0.2">
      <c r="D95" s="205" t="s">
        <v>223</v>
      </c>
      <c r="E95" s="518">
        <v>1990302000</v>
      </c>
      <c r="F95" s="205"/>
      <c r="I95" s="203">
        <f>VLOOKUP(E95,'tb control'!C10:D275,2,FALSE)</f>
        <v>561610.4</v>
      </c>
      <c r="J95" s="203">
        <f>VLOOKUP($E95,'Restated FC1-Pre TB 2023'!$C$10:$D$271,2,FALSE)</f>
        <v>60910.400000000001</v>
      </c>
      <c r="K95" s="203">
        <f t="shared" ref="K95" si="28">M95-J95</f>
        <v>0</v>
      </c>
      <c r="M95" s="239">
        <f>VLOOKUP($E95,'Restated FC1-Post TB 2023'!$C$10:$D$120,2,FALSE)</f>
        <v>60910.400000000001</v>
      </c>
      <c r="N95" s="198">
        <f t="shared" si="23"/>
        <v>500700</v>
      </c>
    </row>
    <row r="96" spans="3:16" x14ac:dyDescent="0.2">
      <c r="D96" s="205"/>
      <c r="E96" s="518"/>
      <c r="F96" s="205"/>
      <c r="I96" s="207"/>
      <c r="J96" s="207"/>
      <c r="K96" s="207"/>
      <c r="M96" s="239"/>
      <c r="N96" s="500"/>
    </row>
    <row r="97" spans="1:31" x14ac:dyDescent="0.2">
      <c r="B97" s="214" t="s">
        <v>276</v>
      </c>
      <c r="D97" s="205"/>
      <c r="E97" s="518"/>
      <c r="F97" s="205"/>
      <c r="I97" s="308">
        <f>SUM(I80,I51,I31,I11)</f>
        <v>686492589.03999996</v>
      </c>
      <c r="J97" s="269">
        <f t="shared" ref="J97:L97" si="29">SUM(J80,J51,J31,J11)</f>
        <v>1419766249.1599998</v>
      </c>
      <c r="K97" s="269">
        <f t="shared" si="29"/>
        <v>-1112736253.3691666</v>
      </c>
      <c r="L97" s="269">
        <f t="shared" si="29"/>
        <v>0</v>
      </c>
      <c r="M97" s="269">
        <f>SUM(M80,M51,M31,M11)</f>
        <v>307029995.79083347</v>
      </c>
      <c r="N97" s="503">
        <f t="shared" si="23"/>
        <v>379462593.24916649</v>
      </c>
      <c r="AE97" s="198">
        <f>M97-[14]FC1SFP!$K$93</f>
        <v>-1387005409.5191665</v>
      </c>
    </row>
    <row r="98" spans="1:31" hidden="1" x14ac:dyDescent="0.2">
      <c r="D98" s="205"/>
      <c r="E98" s="518"/>
      <c r="F98" s="205"/>
      <c r="I98" s="207"/>
      <c r="J98" s="207"/>
      <c r="K98" s="207"/>
      <c r="M98" s="239"/>
    </row>
    <row r="99" spans="1:31" ht="16.5" x14ac:dyDescent="0.3">
      <c r="A99" s="200" t="s">
        <v>245</v>
      </c>
      <c r="B99" s="200"/>
      <c r="D99" s="205"/>
      <c r="E99" s="518"/>
      <c r="F99" s="205"/>
      <c r="I99" s="207"/>
      <c r="J99" s="207"/>
      <c r="K99" s="207"/>
      <c r="M99" s="239"/>
    </row>
    <row r="100" spans="1:31" x14ac:dyDescent="0.2">
      <c r="A100" s="214"/>
      <c r="B100" s="214" t="s">
        <v>187</v>
      </c>
      <c r="E100" s="518"/>
      <c r="I100" s="206">
        <f>I101</f>
        <v>0</v>
      </c>
      <c r="J100" s="206">
        <f t="shared" ref="J100:K100" si="30">J101</f>
        <v>0</v>
      </c>
      <c r="K100" s="206">
        <f t="shared" si="30"/>
        <v>0</v>
      </c>
      <c r="L100" s="212"/>
      <c r="M100" s="517">
        <f>M101</f>
        <v>0</v>
      </c>
      <c r="N100" s="501">
        <f t="shared" si="23"/>
        <v>0</v>
      </c>
    </row>
    <row r="101" spans="1:31" hidden="1" x14ac:dyDescent="0.2">
      <c r="C101" s="205" t="s">
        <v>20</v>
      </c>
      <c r="E101" s="518">
        <v>1020399000</v>
      </c>
      <c r="I101" s="203">
        <f>VLOOKUP(E101,'FC1-Post TB 2024'!$C$10:$F$122,4,FALSE)</f>
        <v>0</v>
      </c>
      <c r="J101" s="203">
        <f>VLOOKUP($E101,'Restated FC1-Pre TB 2023'!$C$10:$D$271,2,FALSE)</f>
        <v>0</v>
      </c>
      <c r="K101" s="203">
        <f t="shared" ref="K101" si="31">M101-J101</f>
        <v>0</v>
      </c>
      <c r="M101" s="239">
        <f>VLOOKUP($E101,'Restated FC1-Post TB 2023'!$C$10:$D$120,2,FALSE)</f>
        <v>0</v>
      </c>
      <c r="N101" s="198">
        <f t="shared" si="23"/>
        <v>0</v>
      </c>
    </row>
    <row r="102" spans="1:31" x14ac:dyDescent="0.2">
      <c r="E102" s="518"/>
      <c r="M102" s="239"/>
      <c r="N102" s="198">
        <f t="shared" si="23"/>
        <v>0</v>
      </c>
    </row>
    <row r="103" spans="1:31" x14ac:dyDescent="0.2">
      <c r="A103" s="214"/>
      <c r="B103" s="214" t="s">
        <v>188</v>
      </c>
      <c r="E103" s="518"/>
      <c r="G103" s="447" t="s">
        <v>431</v>
      </c>
      <c r="I103" s="206">
        <f>I105+I107+I112+I120+I149+I154+I168+I171</f>
        <v>260345811.27999997</v>
      </c>
      <c r="J103" s="206">
        <f t="shared" ref="J103:L103" si="32">J105+J107+J112+J120+J149+J154+J168+J171</f>
        <v>235066563.38000003</v>
      </c>
      <c r="K103" s="206">
        <f t="shared" si="32"/>
        <v>-10688709.869999997</v>
      </c>
      <c r="L103" s="206">
        <f t="shared" si="32"/>
        <v>0</v>
      </c>
      <c r="M103" s="266">
        <f>M105+M107+M112+M120+M149+M154</f>
        <v>168915375.20000002</v>
      </c>
      <c r="N103" s="501">
        <f t="shared" si="23"/>
        <v>91430436.079999954</v>
      </c>
      <c r="O103" s="198">
        <v>101302389.75</v>
      </c>
    </row>
    <row r="104" spans="1:31" x14ac:dyDescent="0.2">
      <c r="A104" s="214"/>
      <c r="B104" s="214"/>
      <c r="E104" s="518"/>
      <c r="M104" s="239"/>
      <c r="O104" s="198" t="s">
        <v>470</v>
      </c>
      <c r="P104" s="513">
        <v>625198.25</v>
      </c>
    </row>
    <row r="105" spans="1:31" x14ac:dyDescent="0.2">
      <c r="C105" s="205" t="s">
        <v>21</v>
      </c>
      <c r="E105" s="518">
        <v>1060101000</v>
      </c>
      <c r="I105" s="211">
        <f>VLOOKUP(E105,'FC1-Post TB 2024'!$C$10:$F$122,4,FALSE)</f>
        <v>13914630</v>
      </c>
      <c r="J105" s="211">
        <f>VLOOKUP($E105,'Restated FC1-Pre TB 2023'!$C$10:$D$271,2,FALSE)</f>
        <v>13914630</v>
      </c>
      <c r="K105" s="203">
        <f t="shared" ref="K105" si="33">M105-J105</f>
        <v>0</v>
      </c>
      <c r="M105" s="245">
        <f>VLOOKUP($E105,'Restated FC1-Post TB 2023'!$C$10:$D$120,2,FALSE)</f>
        <v>13914630</v>
      </c>
      <c r="N105" s="198">
        <f>I105-M105</f>
        <v>0</v>
      </c>
      <c r="O105" s="198">
        <v>5990891.4400000004</v>
      </c>
      <c r="P105" s="530"/>
    </row>
    <row r="106" spans="1:31" x14ac:dyDescent="0.2">
      <c r="C106" s="205"/>
      <c r="E106" s="518"/>
      <c r="I106" s="211"/>
      <c r="J106" s="211"/>
      <c r="K106" s="211"/>
      <c r="M106" s="239"/>
      <c r="N106" s="198">
        <f t="shared" si="23"/>
        <v>0</v>
      </c>
      <c r="O106" s="198" t="s">
        <v>466</v>
      </c>
      <c r="P106" s="530"/>
    </row>
    <row r="107" spans="1:31" ht="13.5" thickBot="1" x14ac:dyDescent="0.25">
      <c r="C107" s="205" t="s">
        <v>22</v>
      </c>
      <c r="E107" s="518"/>
      <c r="I107" s="206">
        <f>I110</f>
        <v>221622.71999999997</v>
      </c>
      <c r="J107" s="206">
        <f t="shared" ref="J107:K107" si="34">J110</f>
        <v>254825.21999999997</v>
      </c>
      <c r="K107" s="206">
        <f t="shared" si="34"/>
        <v>0</v>
      </c>
      <c r="L107" s="213"/>
      <c r="M107" s="266">
        <f t="shared" ref="M107" si="35">M110</f>
        <v>254825.21999999997</v>
      </c>
      <c r="N107" s="501">
        <f t="shared" si="23"/>
        <v>-33202.5</v>
      </c>
      <c r="O107" s="198">
        <v>107293281.19</v>
      </c>
      <c r="P107" s="331">
        <v>-125579.98</v>
      </c>
    </row>
    <row r="108" spans="1:31" x14ac:dyDescent="0.2">
      <c r="C108" s="199"/>
      <c r="D108" s="205" t="s">
        <v>236</v>
      </c>
      <c r="E108" s="518">
        <v>1060299000</v>
      </c>
      <c r="I108" s="203">
        <f>VLOOKUP(E108,'FC1-Post TB 2024'!$C$10:$F$122,4,FALSE)</f>
        <v>699000</v>
      </c>
      <c r="J108" s="203">
        <f>VLOOKUP($E108,'Restated FC1-Pre TB 2023'!$C$10:$D$271,2,FALSE)</f>
        <v>699000</v>
      </c>
      <c r="K108" s="203">
        <f t="shared" ref="K108:K109" si="36">M108-J108</f>
        <v>0</v>
      </c>
      <c r="M108" s="239">
        <f>VLOOKUP($E108,'Restated FC1-Post TB 2023'!$C$10:$D$120,2,FALSE)</f>
        <v>699000</v>
      </c>
      <c r="N108" s="198">
        <f t="shared" si="23"/>
        <v>0</v>
      </c>
      <c r="O108" s="198">
        <v>-31270629</v>
      </c>
    </row>
    <row r="109" spans="1:31" x14ac:dyDescent="0.2">
      <c r="C109" s="199"/>
      <c r="D109" s="201" t="s">
        <v>383</v>
      </c>
      <c r="E109" s="518">
        <v>1060299100</v>
      </c>
      <c r="I109" s="203">
        <f>-VLOOKUP(E109,'FC1-Post TB 2024'!$C$10:$F$122,4,FALSE)</f>
        <v>-477377.28000000003</v>
      </c>
      <c r="J109" s="203">
        <f>-VLOOKUP($E109,'Restated FC1-Pre TB 2023'!$C$10:$E$271,3,FALSE)</f>
        <v>-444174.78</v>
      </c>
      <c r="K109" s="203">
        <f t="shared" si="36"/>
        <v>0</v>
      </c>
      <c r="M109" s="239">
        <f>-VLOOKUP($E109,'Restated FC1-Post TB 2023'!$C$10:$E$120,3,FALSE)</f>
        <v>-444174.78</v>
      </c>
      <c r="N109" s="500">
        <f t="shared" si="23"/>
        <v>-33202.5</v>
      </c>
    </row>
    <row r="110" spans="1:31" x14ac:dyDescent="0.2">
      <c r="C110" s="199"/>
      <c r="D110" s="201" t="s">
        <v>279</v>
      </c>
      <c r="E110" s="518"/>
      <c r="I110" s="215">
        <f>SUM(I108:I109)</f>
        <v>221622.71999999997</v>
      </c>
      <c r="J110" s="215">
        <f>SUM(J108:J109)</f>
        <v>254825.21999999997</v>
      </c>
      <c r="K110" s="215">
        <f t="shared" ref="K110:L110" si="37">SUM(K108:K109)</f>
        <v>0</v>
      </c>
      <c r="L110" s="215">
        <f t="shared" si="37"/>
        <v>0</v>
      </c>
      <c r="M110" s="270">
        <f>SUM(M108:M109)</f>
        <v>254825.21999999997</v>
      </c>
      <c r="N110" s="502">
        <f t="shared" si="23"/>
        <v>-33202.5</v>
      </c>
      <c r="P110" s="332"/>
    </row>
    <row r="111" spans="1:31" ht="13.5" thickBot="1" x14ac:dyDescent="0.25">
      <c r="C111" s="205"/>
      <c r="E111" s="518"/>
      <c r="M111" s="239"/>
      <c r="N111" s="198">
        <f t="shared" si="23"/>
        <v>0</v>
      </c>
      <c r="P111" s="332"/>
    </row>
    <row r="112" spans="1:31" ht="13.5" thickBot="1" x14ac:dyDescent="0.25">
      <c r="C112" s="205" t="s">
        <v>250</v>
      </c>
      <c r="E112" s="518"/>
      <c r="I112" s="206">
        <f>SUM(I115,I118)</f>
        <v>168889094.53999999</v>
      </c>
      <c r="J112" s="206">
        <f t="shared" ref="J112:K112" si="38">SUM(J115,J118)</f>
        <v>100813206.72999999</v>
      </c>
      <c r="K112" s="206">
        <f t="shared" si="38"/>
        <v>-4814891.8699999973</v>
      </c>
      <c r="M112" s="266">
        <f>SUM(M115,M118)</f>
        <v>95998314.860000014</v>
      </c>
      <c r="N112" s="501">
        <f t="shared" si="23"/>
        <v>72890779.679999977</v>
      </c>
      <c r="S112" s="333"/>
      <c r="T112" s="198"/>
    </row>
    <row r="113" spans="1:32" ht="14.25" x14ac:dyDescent="0.2">
      <c r="C113" s="205"/>
      <c r="D113" s="205" t="s">
        <v>23</v>
      </c>
      <c r="E113" s="518">
        <v>1060401000</v>
      </c>
      <c r="G113" s="504" t="e">
        <f>VLOOKUP($E113,'tb control'!$C$10:$E$2005,5,FALSE)</f>
        <v>#REF!</v>
      </c>
      <c r="I113" s="203">
        <f>VLOOKUP(E113,'FC1-Post TB 2024'!$C$10:$F$122,4,FALSE)</f>
        <v>193062384.37</v>
      </c>
      <c r="J113" s="203">
        <f>VLOOKUP($E113,'Restated FC1-Pre TB 2023'!$C$10:$D$271,2,FALSE)</f>
        <v>121948226.31</v>
      </c>
      <c r="K113" s="203">
        <f t="shared" ref="K113:K114" si="39">M113-J113</f>
        <v>0</v>
      </c>
      <c r="M113" s="239">
        <f>VLOOKUP($E113,'Restated FC1-Post TB 2023'!$C$10:$D$120,2,FALSE)</f>
        <v>121948226.31</v>
      </c>
      <c r="N113" s="198">
        <f t="shared" si="23"/>
        <v>71114158.060000002</v>
      </c>
      <c r="O113" s="334">
        <f>M112</f>
        <v>95998314.860000014</v>
      </c>
      <c r="S113" s="198"/>
      <c r="T113" s="198"/>
    </row>
    <row r="114" spans="1:32" ht="14.25" x14ac:dyDescent="0.2">
      <c r="D114" s="201" t="s">
        <v>495</v>
      </c>
      <c r="E114" s="518">
        <v>1060401100</v>
      </c>
      <c r="G114" s="505" t="e">
        <f>VLOOKUP($E114,'tb control'!$C$10:$E$2005,5,FALSE)</f>
        <v>#REF!</v>
      </c>
      <c r="I114" s="203">
        <f>-VLOOKUP(E114,'FC1-Post TB 2024'!$C$10:$F$122,4,FALSE)</f>
        <v>-41357030.310000002</v>
      </c>
      <c r="J114" s="203">
        <f>-VLOOKUP($E114,'Restated FC1-Pre TB 2023'!$C$10:$E$271,3,FALSE)</f>
        <v>-32712526.149999999</v>
      </c>
      <c r="K114" s="203">
        <f t="shared" si="39"/>
        <v>-4580004.3699999973</v>
      </c>
      <c r="M114" s="239">
        <f>-VLOOKUP($E114,'Restated FC1-Post TB 2023'!$C$10:$E$120,3,FALSE)</f>
        <v>-37292530.519999996</v>
      </c>
      <c r="N114" s="500">
        <f t="shared" si="23"/>
        <v>-4064499.7900000066</v>
      </c>
      <c r="O114" s="334">
        <f>N113</f>
        <v>71114158.060000002</v>
      </c>
      <c r="R114" s="198">
        <f>I114+I117</f>
        <v>-46429796.290000007</v>
      </c>
      <c r="S114" s="198"/>
      <c r="T114" s="198"/>
    </row>
    <row r="115" spans="1:32" x14ac:dyDescent="0.2">
      <c r="D115" s="201" t="s">
        <v>279</v>
      </c>
      <c r="E115" s="518"/>
      <c r="G115" s="452"/>
      <c r="I115" s="215">
        <f>SUM(I113:I114)</f>
        <v>151705354.06</v>
      </c>
      <c r="J115" s="215">
        <f t="shared" ref="J115:L115" si="40">SUM(J113:J114)</f>
        <v>89235700.159999996</v>
      </c>
      <c r="K115" s="215">
        <f t="shared" si="40"/>
        <v>-4580004.3699999973</v>
      </c>
      <c r="L115" s="215">
        <f t="shared" si="40"/>
        <v>0</v>
      </c>
      <c r="M115" s="270">
        <f>SUM(M113:M114)</f>
        <v>84655695.790000007</v>
      </c>
      <c r="N115" s="500">
        <f t="shared" si="23"/>
        <v>67049658.269999996</v>
      </c>
      <c r="O115" s="198">
        <f>O113+O114</f>
        <v>167112472.92000002</v>
      </c>
      <c r="S115" s="198"/>
    </row>
    <row r="116" spans="1:32" s="216" customFormat="1" x14ac:dyDescent="0.2">
      <c r="A116" s="205"/>
      <c r="B116" s="205"/>
      <c r="C116" s="205"/>
      <c r="D116" s="205" t="s">
        <v>24</v>
      </c>
      <c r="E116" s="518">
        <v>1060499000</v>
      </c>
      <c r="F116" s="202"/>
      <c r="G116" s="504" t="e">
        <f>VLOOKUP($E116,'tb control'!$C$10:$E$2005,5,FALSE)</f>
        <v>#REF!</v>
      </c>
      <c r="H116" s="448"/>
      <c r="I116" s="203">
        <f>VLOOKUP(E116,'FC1-Post TB 2024'!$C$10:$F$122,4,FALSE)</f>
        <v>22256506.460000001</v>
      </c>
      <c r="J116" s="203">
        <f>VLOOKUP($E116,'Restated FC1-Pre TB 2023'!$C$10:$D$271,2,FALSE)</f>
        <v>14926719.51</v>
      </c>
      <c r="K116" s="203">
        <f t="shared" ref="K116:K117" si="41">M116-J116</f>
        <v>0</v>
      </c>
      <c r="L116" s="204"/>
      <c r="M116" s="239">
        <f>VLOOKUP($E116,'Restated FC1-Post TB 2023'!$C$10:$D$120,2,FALSE)</f>
        <v>14926719.51</v>
      </c>
      <c r="N116" s="198">
        <f t="shared" si="23"/>
        <v>7329786.9500000011</v>
      </c>
      <c r="O116" s="203">
        <f>N114+N117</f>
        <v>-5553165.3300000075</v>
      </c>
      <c r="P116" s="203"/>
      <c r="V116" s="203"/>
      <c r="AE116" s="203"/>
      <c r="AF116" s="203"/>
    </row>
    <row r="117" spans="1:32" s="216" customFormat="1" x14ac:dyDescent="0.2">
      <c r="A117" s="205"/>
      <c r="B117" s="205"/>
      <c r="C117" s="201"/>
      <c r="D117" s="201" t="s">
        <v>234</v>
      </c>
      <c r="E117" s="518">
        <v>1060499100</v>
      </c>
      <c r="F117" s="202"/>
      <c r="G117" s="505" t="e">
        <f>VLOOKUP($E117,'tb control'!$C$10:$E$2005,5,FALSE)</f>
        <v>#REF!</v>
      </c>
      <c r="H117" s="448"/>
      <c r="I117" s="203">
        <f>-VLOOKUP(E117,'FC1-Post TB 2024'!$C$10:$F$122,4,FALSE)</f>
        <v>-5072765.9800000004</v>
      </c>
      <c r="J117" s="203">
        <f>-VLOOKUP($E117,'Restated FC1-Pre TB 2023'!$C$10:$E$271,3,FALSE)</f>
        <v>-3349212.94</v>
      </c>
      <c r="K117" s="203">
        <f t="shared" si="41"/>
        <v>-234887.5</v>
      </c>
      <c r="L117" s="204"/>
      <c r="M117" s="239">
        <f>-VLOOKUP($E117,'Restated FC1-Post TB 2023'!$C$10:$E$120,3,FALSE)</f>
        <v>-3584100.44</v>
      </c>
      <c r="N117" s="500">
        <f t="shared" si="23"/>
        <v>-1488665.5400000005</v>
      </c>
      <c r="O117" s="203">
        <f>O115+O116</f>
        <v>161559307.59</v>
      </c>
      <c r="P117" s="203"/>
      <c r="V117" s="203"/>
      <c r="AE117" s="203"/>
      <c r="AF117" s="203"/>
    </row>
    <row r="118" spans="1:32" s="216" customFormat="1" x14ac:dyDescent="0.2">
      <c r="A118" s="205"/>
      <c r="B118" s="205"/>
      <c r="C118" s="201"/>
      <c r="D118" s="201" t="s">
        <v>279</v>
      </c>
      <c r="E118" s="518"/>
      <c r="F118" s="202"/>
      <c r="G118" s="452"/>
      <c r="H118" s="448"/>
      <c r="I118" s="215">
        <f>SUM(I116:I117)</f>
        <v>17183740.48</v>
      </c>
      <c r="J118" s="215">
        <f t="shared" ref="J118:L118" si="42">SUM(J116:J117)</f>
        <v>11577506.57</v>
      </c>
      <c r="K118" s="215">
        <f t="shared" si="42"/>
        <v>-234887.5</v>
      </c>
      <c r="L118" s="215">
        <f t="shared" si="42"/>
        <v>0</v>
      </c>
      <c r="M118" s="270">
        <f>SUM(M116:M117)</f>
        <v>11342619.07</v>
      </c>
      <c r="N118" s="500">
        <f t="shared" si="23"/>
        <v>5841121.4100000001</v>
      </c>
      <c r="O118" s="203">
        <f>O117-I112</f>
        <v>-7329786.9499999881</v>
      </c>
      <c r="P118" s="203"/>
      <c r="V118" s="203"/>
      <c r="AE118" s="203"/>
      <c r="AF118" s="203"/>
    </row>
    <row r="119" spans="1:32" s="216" customFormat="1" x14ac:dyDescent="0.2">
      <c r="A119" s="205"/>
      <c r="B119" s="205"/>
      <c r="C119" s="205"/>
      <c r="D119" s="201"/>
      <c r="E119" s="518"/>
      <c r="F119" s="202"/>
      <c r="G119" s="452"/>
      <c r="H119" s="448"/>
      <c r="I119" s="203"/>
      <c r="J119" s="203"/>
      <c r="K119" s="203"/>
      <c r="L119" s="204"/>
      <c r="M119" s="239"/>
      <c r="N119" s="198">
        <f t="shared" si="23"/>
        <v>0</v>
      </c>
      <c r="O119" s="203"/>
      <c r="P119" s="203"/>
      <c r="V119" s="203"/>
      <c r="AE119" s="203"/>
      <c r="AF119" s="203"/>
    </row>
    <row r="120" spans="1:32" s="216" customFormat="1" x14ac:dyDescent="0.2">
      <c r="A120" s="205"/>
      <c r="B120" s="205"/>
      <c r="C120" s="205" t="s">
        <v>252</v>
      </c>
      <c r="D120" s="201"/>
      <c r="E120" s="518"/>
      <c r="F120" s="202"/>
      <c r="G120" s="452"/>
      <c r="H120" s="448"/>
      <c r="I120" s="206">
        <f>SUM(I126,I129,I132,I135,I138,I141,I144,I147,I123)</f>
        <v>38805473.07</v>
      </c>
      <c r="J120" s="206">
        <f t="shared" ref="J120:L120" si="43">SUM(J126,J129,J132,J135,J138,J141,J144,J147,J123)</f>
        <v>38117830.540000007</v>
      </c>
      <c r="K120" s="206">
        <f t="shared" si="43"/>
        <v>347555</v>
      </c>
      <c r="L120" s="206">
        <f t="shared" si="43"/>
        <v>0</v>
      </c>
      <c r="M120" s="266">
        <f>SUM(M126,M129,M132,M135,M138,M141,M144,M147)</f>
        <v>38465385.540000007</v>
      </c>
      <c r="N120" s="501">
        <f t="shared" si="23"/>
        <v>340087.52999999374</v>
      </c>
      <c r="O120" s="203"/>
      <c r="P120" s="203"/>
      <c r="Q120" s="216">
        <v>25973395.760000002</v>
      </c>
      <c r="V120" s="203"/>
      <c r="AE120" s="203"/>
      <c r="AF120" s="203"/>
    </row>
    <row r="121" spans="1:32" s="216" customFormat="1" hidden="1" x14ac:dyDescent="0.2">
      <c r="A121" s="205"/>
      <c r="B121" s="205"/>
      <c r="C121" s="205"/>
      <c r="D121" s="205" t="s">
        <v>447</v>
      </c>
      <c r="E121" s="518">
        <v>1060501000</v>
      </c>
      <c r="F121" s="202"/>
      <c r="G121" s="452"/>
      <c r="H121" s="448"/>
      <c r="I121" s="203">
        <f>VLOOKUP(E121,'FC1-Post TB 2024'!$C$10:$F$122,4,FALSE)</f>
        <v>0</v>
      </c>
      <c r="J121" s="203">
        <f>VLOOKUP($E121,'Restated FC1-Pre TB 2023'!$C$10:$D$271,2,FALSE)</f>
        <v>0</v>
      </c>
      <c r="K121" s="203"/>
      <c r="L121" s="204"/>
      <c r="M121" s="239">
        <f>VLOOKUP($E121,'Restated FC1-Post TB 2023'!$C$10:$D$120,2,FALSE)</f>
        <v>0</v>
      </c>
      <c r="N121" s="198">
        <f t="shared" si="23"/>
        <v>0</v>
      </c>
      <c r="O121" s="203"/>
      <c r="P121" s="203"/>
      <c r="V121" s="203"/>
      <c r="AE121" s="203"/>
      <c r="AF121" s="203"/>
    </row>
    <row r="122" spans="1:32" s="216" customFormat="1" hidden="1" x14ac:dyDescent="0.2">
      <c r="A122" s="205"/>
      <c r="B122" s="205"/>
      <c r="C122" s="205"/>
      <c r="D122" s="201" t="s">
        <v>496</v>
      </c>
      <c r="E122" s="518">
        <v>1060501100</v>
      </c>
      <c r="F122" s="202"/>
      <c r="G122" s="452"/>
      <c r="H122" s="448"/>
      <c r="I122" s="209">
        <f>-VLOOKUP(E122,'FC1-Post TB 2024'!$C$10:$F$122,4,FALSE)</f>
        <v>0</v>
      </c>
      <c r="J122" s="209">
        <v>0</v>
      </c>
      <c r="K122" s="209"/>
      <c r="L122" s="204"/>
      <c r="M122" s="267">
        <f>IFERROR(-VLOOKUP($E122,'Restated FC1-Post TB 2023'!$C$10:$E$120,3,FALSE),0)</f>
        <v>0</v>
      </c>
      <c r="N122" s="500">
        <f t="shared" si="23"/>
        <v>0</v>
      </c>
      <c r="O122" s="203"/>
      <c r="P122" s="203"/>
      <c r="V122" s="203"/>
      <c r="AE122" s="203"/>
      <c r="AF122" s="203"/>
    </row>
    <row r="123" spans="1:32" s="216" customFormat="1" hidden="1" x14ac:dyDescent="0.2">
      <c r="A123" s="205"/>
      <c r="B123" s="205"/>
      <c r="C123" s="205"/>
      <c r="D123" s="201" t="s">
        <v>279</v>
      </c>
      <c r="E123" s="518"/>
      <c r="F123" s="202"/>
      <c r="G123" s="452"/>
      <c r="H123" s="448"/>
      <c r="I123" s="207">
        <f>I121-I122</f>
        <v>0</v>
      </c>
      <c r="J123" s="207">
        <f t="shared" ref="J123:L123" si="44">J121-J122</f>
        <v>0</v>
      </c>
      <c r="K123" s="207">
        <f t="shared" si="44"/>
        <v>0</v>
      </c>
      <c r="L123" s="207">
        <f t="shared" si="44"/>
        <v>0</v>
      </c>
      <c r="M123" s="242">
        <f>M121-M122</f>
        <v>0</v>
      </c>
      <c r="N123" s="198">
        <f t="shared" si="23"/>
        <v>0</v>
      </c>
      <c r="O123" s="203"/>
      <c r="P123" s="203"/>
      <c r="V123" s="203"/>
      <c r="AE123" s="203"/>
      <c r="AF123" s="203"/>
    </row>
    <row r="124" spans="1:32" s="216" customFormat="1" x14ac:dyDescent="0.2">
      <c r="A124" s="205"/>
      <c r="B124" s="205"/>
      <c r="C124" s="205"/>
      <c r="D124" s="205" t="s">
        <v>25</v>
      </c>
      <c r="E124" s="518">
        <v>1060502000</v>
      </c>
      <c r="F124" s="202"/>
      <c r="G124" s="504" t="e">
        <f>VLOOKUP($E124,'tb control'!$C$10:$E$2005,5,FALSE)</f>
        <v>#REF!</v>
      </c>
      <c r="H124" s="448"/>
      <c r="I124" s="203">
        <f>VLOOKUP(E124,'FC1-Post TB 2024'!$C$10:$F$122,4,FALSE)</f>
        <v>10848086.25</v>
      </c>
      <c r="J124" s="203">
        <f>VLOOKUP($E124,'Restated FC1-Pre TB 2023'!$C$10:$D$271,2,FALSE)</f>
        <v>14367994.039999999</v>
      </c>
      <c r="K124" s="203">
        <f t="shared" ref="K124:K125" si="45">M124-J124</f>
        <v>490000</v>
      </c>
      <c r="L124" s="204"/>
      <c r="M124" s="239">
        <f>VLOOKUP($E124,'Restated FC1-Post TB 2023'!$C$10:$D$120,2,FALSE)</f>
        <v>14857994.039999999</v>
      </c>
      <c r="N124" s="198">
        <f t="shared" si="23"/>
        <v>-4009907.7899999991</v>
      </c>
      <c r="O124" s="203">
        <v>176314136.75</v>
      </c>
      <c r="P124" s="203"/>
      <c r="Q124" s="216">
        <f>I120-Q120</f>
        <v>12832077.309999999</v>
      </c>
      <c r="V124" s="203"/>
      <c r="AE124" s="203"/>
      <c r="AF124" s="203"/>
    </row>
    <row r="125" spans="1:32" s="216" customFormat="1" x14ac:dyDescent="0.2">
      <c r="A125" s="205"/>
      <c r="B125" s="205"/>
      <c r="C125" s="201"/>
      <c r="D125" s="201" t="s">
        <v>233</v>
      </c>
      <c r="E125" s="518">
        <v>1060502100</v>
      </c>
      <c r="F125" s="202"/>
      <c r="G125" s="505" t="e">
        <f>VLOOKUP($E125,'tb control'!$C$10:$E$2005,5,FALSE)</f>
        <v>#REF!</v>
      </c>
      <c r="H125" s="448"/>
      <c r="I125" s="203">
        <f>-VLOOKUP(E125,'FC1-Post TB 2024'!$C$10:$F$122,4,FALSE)</f>
        <v>-8194329.8899999997</v>
      </c>
      <c r="J125" s="203">
        <f>-VLOOKUP($E125,'Restated FC1-Pre TB 2023'!$C$10:$E$271,3,FALSE)</f>
        <v>-11188319.699999999</v>
      </c>
      <c r="K125" s="203">
        <f t="shared" si="45"/>
        <v>0</v>
      </c>
      <c r="L125" s="204"/>
      <c r="M125" s="239">
        <f>-VLOOKUP($E125,'Restated FC1-Post TB 2023'!$C$10:$E$120,3,FALSE)</f>
        <v>-11188319.699999999</v>
      </c>
      <c r="N125" s="500">
        <f t="shared" si="23"/>
        <v>2993989.8099999996</v>
      </c>
      <c r="O125" s="203">
        <v>20686757.350000001</v>
      </c>
      <c r="P125" s="203"/>
      <c r="V125" s="203"/>
      <c r="AE125" s="203"/>
      <c r="AF125" s="203"/>
    </row>
    <row r="126" spans="1:32" s="216" customFormat="1" x14ac:dyDescent="0.2">
      <c r="A126" s="205"/>
      <c r="B126" s="205"/>
      <c r="C126" s="201"/>
      <c r="D126" s="201" t="s">
        <v>279</v>
      </c>
      <c r="E126" s="518"/>
      <c r="F126" s="202"/>
      <c r="G126" s="452"/>
      <c r="H126" s="448"/>
      <c r="I126" s="215">
        <f>SUM(I124:I125)</f>
        <v>2653756.3600000003</v>
      </c>
      <c r="J126" s="215">
        <f t="shared" ref="J126:K126" si="46">SUM(J124:J125)</f>
        <v>3179674.34</v>
      </c>
      <c r="K126" s="215">
        <f t="shared" si="46"/>
        <v>490000</v>
      </c>
      <c r="L126" s="204"/>
      <c r="M126" s="270">
        <f>SUM(M124:M125)</f>
        <v>3669674.34</v>
      </c>
      <c r="N126" s="500">
        <f t="shared" si="23"/>
        <v>-1015917.9799999995</v>
      </c>
      <c r="O126" s="203">
        <v>-1842928.4</v>
      </c>
      <c r="P126" s="203"/>
      <c r="V126" s="203"/>
      <c r="AE126" s="203"/>
      <c r="AF126" s="203"/>
    </row>
    <row r="127" spans="1:32" s="216" customFormat="1" x14ac:dyDescent="0.2">
      <c r="A127" s="205"/>
      <c r="B127" s="205"/>
      <c r="C127" s="205"/>
      <c r="D127" s="205" t="s">
        <v>102</v>
      </c>
      <c r="E127" s="518">
        <v>1060503000</v>
      </c>
      <c r="F127" s="202"/>
      <c r="G127" s="504" t="e">
        <f>VLOOKUP($E127,'tb control'!$C$10:$E$2005,5,FALSE)</f>
        <v>#REF!</v>
      </c>
      <c r="H127" s="448"/>
      <c r="I127" s="203">
        <f>VLOOKUP(E127,'FC1-Post TB 2024'!$C$10:$F$122,4,FALSE)</f>
        <v>51002202.969999999</v>
      </c>
      <c r="J127" s="203">
        <f>VLOOKUP($E127,'Restated FC1-Pre TB 2023'!$C$10:$D$271,2,FALSE)</f>
        <v>46705026.770000003</v>
      </c>
      <c r="K127" s="203">
        <f t="shared" ref="K127:K128" si="47">M127-J127</f>
        <v>0</v>
      </c>
      <c r="L127" s="204"/>
      <c r="M127" s="239">
        <f>VLOOKUP($E127,'Restated FC1-Post TB 2023'!$C$10:$D$120,2,FALSE)</f>
        <v>46705026.770000003</v>
      </c>
      <c r="N127" s="198">
        <f t="shared" si="23"/>
        <v>4297176.1999999955</v>
      </c>
      <c r="O127" s="203">
        <f>SUM(O124:O126)</f>
        <v>195157965.69999999</v>
      </c>
      <c r="P127" s="203"/>
      <c r="Q127" s="216">
        <f>105140206.11+Q124</f>
        <v>117972283.42</v>
      </c>
      <c r="V127" s="203"/>
      <c r="AE127" s="203"/>
      <c r="AF127" s="203"/>
    </row>
    <row r="128" spans="1:32" s="216" customFormat="1" ht="25.5" x14ac:dyDescent="0.2">
      <c r="A128" s="205"/>
      <c r="B128" s="205"/>
      <c r="C128" s="201"/>
      <c r="D128" s="310" t="s">
        <v>497</v>
      </c>
      <c r="E128" s="518">
        <v>1060503100</v>
      </c>
      <c r="F128" s="202"/>
      <c r="G128" s="505" t="e">
        <f>VLOOKUP($E128,'tb control'!$C$10:$E$2005,5,FALSE)</f>
        <v>#REF!</v>
      </c>
      <c r="H128" s="448"/>
      <c r="I128" s="203">
        <f>-VLOOKUP(E128,'FC1-Post TB 2024'!$C$10:$F$122,4,FALSE)</f>
        <v>-22246659.5</v>
      </c>
      <c r="J128" s="203">
        <f>-VLOOKUP($E128,'Restated FC1-Pre TB 2023'!$C$10:$E$271,3,FALSE)</f>
        <v>-19879000.039999999</v>
      </c>
      <c r="K128" s="203">
        <f t="shared" si="47"/>
        <v>-142445</v>
      </c>
      <c r="L128" s="204"/>
      <c r="M128" s="239">
        <f>-VLOOKUP($E128,'Restated FC1-Post TB 2023'!$C$10:$E$120,3,FALSE)</f>
        <v>-20021445.039999999</v>
      </c>
      <c r="N128" s="500">
        <f t="shared" si="23"/>
        <v>-2225214.4600000009</v>
      </c>
      <c r="O128" s="203"/>
      <c r="P128" s="203">
        <v>-9710249.8900000006</v>
      </c>
      <c r="Q128" s="216">
        <v>-79166810.349999994</v>
      </c>
      <c r="V128" s="203"/>
      <c r="AE128" s="203"/>
      <c r="AF128" s="203"/>
    </row>
    <row r="129" spans="1:36" s="216" customFormat="1" ht="14.25" x14ac:dyDescent="0.2">
      <c r="A129" s="205"/>
      <c r="B129" s="205"/>
      <c r="C129" s="201"/>
      <c r="D129" s="201" t="s">
        <v>279</v>
      </c>
      <c r="E129" s="518"/>
      <c r="F129" s="202"/>
      <c r="G129" s="452"/>
      <c r="H129" s="448"/>
      <c r="I129" s="215">
        <f>SUM(I127:I128)</f>
        <v>28755543.469999999</v>
      </c>
      <c r="J129" s="215">
        <f t="shared" ref="J129:K129" si="48">SUM(J127:J128)</f>
        <v>26826026.730000004</v>
      </c>
      <c r="K129" s="215">
        <f t="shared" si="48"/>
        <v>-142445</v>
      </c>
      <c r="L129" s="204"/>
      <c r="M129" s="270">
        <f>SUM(M127:M128)</f>
        <v>26683581.730000004</v>
      </c>
      <c r="N129" s="500">
        <f t="shared" si="23"/>
        <v>2071961.7399999946</v>
      </c>
      <c r="O129" s="335">
        <v>25065259.77</v>
      </c>
      <c r="P129" s="203">
        <v>-13559807.91</v>
      </c>
      <c r="Q129" s="216">
        <f>Q127+Q128</f>
        <v>38805473.070000008</v>
      </c>
      <c r="V129" s="203"/>
      <c r="AE129" s="203"/>
      <c r="AF129" s="203"/>
    </row>
    <row r="130" spans="1:36" s="216" customFormat="1" ht="15.75" x14ac:dyDescent="0.2">
      <c r="A130" s="205"/>
      <c r="B130" s="205"/>
      <c r="C130" s="205"/>
      <c r="D130" s="205" t="s">
        <v>26</v>
      </c>
      <c r="E130" s="518">
        <v>1060507000</v>
      </c>
      <c r="F130" s="202"/>
      <c r="G130" s="504" t="e">
        <f>VLOOKUP($E130,'tb control'!$C$10:$E$2005,5,FALSE)</f>
        <v>#REF!</v>
      </c>
      <c r="H130" s="448"/>
      <c r="I130" s="203">
        <f>VLOOKUP(E130,'FC1-Post TB 2024'!$C$10:$F$122,4,FALSE)</f>
        <v>8181442.96</v>
      </c>
      <c r="J130" s="203">
        <f>VLOOKUP($E130,'Restated FC1-Pre TB 2023'!$C$10:$D$271,2,FALSE)</f>
        <v>7834252.96</v>
      </c>
      <c r="K130" s="203">
        <f t="shared" ref="K130:K131" si="49">M130-J130</f>
        <v>0</v>
      </c>
      <c r="L130" s="204"/>
      <c r="M130" s="239">
        <f>VLOOKUP($E130,'Restated FC1-Post TB 2023'!$C$10:$D$120,2,FALSE)</f>
        <v>7834252.96</v>
      </c>
      <c r="N130" s="198">
        <f t="shared" si="23"/>
        <v>347190</v>
      </c>
      <c r="O130" s="516">
        <v>21032426.579999998</v>
      </c>
      <c r="P130" s="203">
        <v>0</v>
      </c>
      <c r="V130" s="203"/>
      <c r="AE130" s="203"/>
      <c r="AF130" s="203"/>
    </row>
    <row r="131" spans="1:36" s="216" customFormat="1" x14ac:dyDescent="0.2">
      <c r="A131" s="205"/>
      <c r="B131" s="205"/>
      <c r="C131" s="205"/>
      <c r="D131" s="201" t="s">
        <v>90</v>
      </c>
      <c r="E131" s="518">
        <v>1060507100</v>
      </c>
      <c r="F131" s="202"/>
      <c r="G131" s="505" t="e">
        <f>VLOOKUP($E131,'tb control'!$C$10:$E$2005,5,FALSE)</f>
        <v>#REF!</v>
      </c>
      <c r="H131" s="448"/>
      <c r="I131" s="203">
        <f>-VLOOKUP(E131,'FC1-Post TB 2024'!$C$10:$F$122,4,FALSE)</f>
        <v>-2063972.97</v>
      </c>
      <c r="J131" s="203">
        <f>-VLOOKUP($E131,'Restated FC1-Pre TB 2023'!$C$10:$E$271,3,FALSE)</f>
        <v>-575464.92000000004</v>
      </c>
      <c r="K131" s="203">
        <f t="shared" si="49"/>
        <v>0</v>
      </c>
      <c r="L131" s="204"/>
      <c r="M131" s="239">
        <f>-VLOOKUP($E131,'Restated FC1-Post TB 2023'!$C$10:$E$120,3,FALSE)</f>
        <v>-575464.92000000004</v>
      </c>
      <c r="N131" s="500">
        <f t="shared" si="23"/>
        <v>-1488508.0499999998</v>
      </c>
      <c r="O131" s="203">
        <f>O129+O130</f>
        <v>46097686.349999994</v>
      </c>
      <c r="P131" s="203">
        <v>-108635.63</v>
      </c>
      <c r="V131" s="203"/>
      <c r="AE131" s="203"/>
      <c r="AF131" s="203"/>
    </row>
    <row r="132" spans="1:36" s="216" customFormat="1" x14ac:dyDescent="0.2">
      <c r="A132" s="205"/>
      <c r="B132" s="205"/>
      <c r="C132" s="205"/>
      <c r="D132" s="201" t="s">
        <v>279</v>
      </c>
      <c r="E132" s="518"/>
      <c r="F132" s="202"/>
      <c r="G132" s="452"/>
      <c r="H132" s="448"/>
      <c r="I132" s="215">
        <f>SUM(I130:I131)</f>
        <v>6117469.9900000002</v>
      </c>
      <c r="J132" s="215">
        <f t="shared" ref="J132:K132" si="50">SUM(J130:J131)</f>
        <v>7258788.04</v>
      </c>
      <c r="K132" s="215">
        <f t="shared" si="50"/>
        <v>0</v>
      </c>
      <c r="L132" s="204"/>
      <c r="M132" s="270">
        <f>SUM(M130:M131)</f>
        <v>7258788.04</v>
      </c>
      <c r="N132" s="500">
        <f t="shared" si="23"/>
        <v>-1141318.0499999998</v>
      </c>
      <c r="O132" s="203"/>
      <c r="P132" s="203">
        <v>-222772.49</v>
      </c>
      <c r="V132" s="203"/>
      <c r="AE132" s="203"/>
      <c r="AF132" s="203"/>
    </row>
    <row r="133" spans="1:36" s="216" customFormat="1" hidden="1" x14ac:dyDescent="0.2">
      <c r="A133" s="205"/>
      <c r="B133" s="205"/>
      <c r="C133" s="205"/>
      <c r="D133" s="205" t="s">
        <v>103</v>
      </c>
      <c r="E133" s="518">
        <v>1060509000</v>
      </c>
      <c r="F133" s="202"/>
      <c r="G133" s="504" t="e">
        <f>VLOOKUP($E133,'tb control'!$C$10:$E$2005,5,FALSE)</f>
        <v>#REF!</v>
      </c>
      <c r="H133" s="448"/>
      <c r="I133" s="203">
        <f>VLOOKUP(E133,'FC1-Post TB 2024'!$C$10:$F$122,4,FALSE)</f>
        <v>0</v>
      </c>
      <c r="J133" s="203">
        <f>VLOOKUP($E133,'Restated FC1-Pre TB 2023'!$C$10:$D$271,2,FALSE)</f>
        <v>0</v>
      </c>
      <c r="K133" s="203">
        <f t="shared" ref="K133:K134" si="51">M133-J133</f>
        <v>0</v>
      </c>
      <c r="L133" s="204"/>
      <c r="M133" s="239">
        <f>VLOOKUP($E133,'Restated FC1-Post TB 2023'!$C$10:$D$120,2,FALSE)</f>
        <v>0</v>
      </c>
      <c r="N133" s="198">
        <f t="shared" si="23"/>
        <v>0</v>
      </c>
      <c r="O133" s="203"/>
      <c r="P133" s="203">
        <v>-280318.33</v>
      </c>
      <c r="V133" s="203"/>
      <c r="AE133" s="203"/>
      <c r="AF133" s="203"/>
    </row>
    <row r="134" spans="1:36" s="216" customFormat="1" ht="25.5" hidden="1" x14ac:dyDescent="0.2">
      <c r="A134" s="205"/>
      <c r="B134" s="205"/>
      <c r="C134" s="205"/>
      <c r="D134" s="310" t="s">
        <v>108</v>
      </c>
      <c r="E134" s="518">
        <v>1060509100</v>
      </c>
      <c r="F134" s="202"/>
      <c r="G134" s="505" t="e">
        <f>VLOOKUP($E134,'tb control'!$C$10:$E$2005,5,FALSE)</f>
        <v>#REF!</v>
      </c>
      <c r="H134" s="448"/>
      <c r="I134" s="203">
        <f>-VLOOKUP(E134,'FC1-Post TB 2024'!$C$10:$F$122,4,FALSE)</f>
        <v>0</v>
      </c>
      <c r="J134" s="203">
        <f>-VLOOKUP($E134,'Restated FC1-Pre TB 2023'!$C$10:$E$271,3,FALSE)</f>
        <v>0</v>
      </c>
      <c r="K134" s="203">
        <f t="shared" si="51"/>
        <v>0</v>
      </c>
      <c r="L134" s="204"/>
      <c r="M134" s="239">
        <f>-VLOOKUP($E134,'Restated FC1-Post TB 2023'!$C$10:$E$120,3,FALSE)</f>
        <v>0</v>
      </c>
      <c r="N134" s="500">
        <f t="shared" si="23"/>
        <v>0</v>
      </c>
      <c r="O134" s="203"/>
      <c r="P134" s="203"/>
      <c r="V134" s="203"/>
      <c r="AE134" s="203"/>
      <c r="AF134" s="203"/>
    </row>
    <row r="135" spans="1:36" s="216" customFormat="1" hidden="1" x14ac:dyDescent="0.2">
      <c r="A135" s="205"/>
      <c r="B135" s="205"/>
      <c r="C135" s="205"/>
      <c r="D135" s="201" t="s">
        <v>279</v>
      </c>
      <c r="E135" s="518"/>
      <c r="F135" s="202"/>
      <c r="G135" s="452"/>
      <c r="H135" s="448"/>
      <c r="I135" s="215">
        <f>SUM(I133:I134)</f>
        <v>0</v>
      </c>
      <c r="J135" s="215">
        <f t="shared" ref="J135:K135" si="52">SUM(J133:J134)</f>
        <v>0</v>
      </c>
      <c r="K135" s="215">
        <f t="shared" si="52"/>
        <v>0</v>
      </c>
      <c r="L135" s="204"/>
      <c r="M135" s="270">
        <f>SUM(M133:M134)</f>
        <v>0</v>
      </c>
      <c r="N135" s="500">
        <f t="shared" si="23"/>
        <v>0</v>
      </c>
      <c r="O135" s="203"/>
      <c r="P135" s="203"/>
      <c r="V135" s="203"/>
      <c r="AE135" s="203"/>
      <c r="AF135" s="203"/>
    </row>
    <row r="136" spans="1:36" s="216" customFormat="1" hidden="1" x14ac:dyDescent="0.2">
      <c r="A136" s="205"/>
      <c r="B136" s="205"/>
      <c r="C136" s="205"/>
      <c r="D136" s="205" t="s">
        <v>104</v>
      </c>
      <c r="E136" s="518">
        <v>1060511000</v>
      </c>
      <c r="F136" s="202"/>
      <c r="G136" s="504" t="e">
        <f>VLOOKUP($E136,'tb control'!$C$10:$E$2005,5,FALSE)</f>
        <v>#REF!</v>
      </c>
      <c r="H136" s="448"/>
      <c r="I136" s="203">
        <f>VLOOKUP(E136,'FC1-Post TB 2024'!$C$10:$F$122,4,FALSE)</f>
        <v>0</v>
      </c>
      <c r="J136" s="203">
        <f>VLOOKUP($E136,'Restated FC1-Pre TB 2023'!$C$10:$D$271,2,FALSE)</f>
        <v>0</v>
      </c>
      <c r="K136" s="203">
        <f t="shared" ref="K136:K137" si="53">M136-J136</f>
        <v>0</v>
      </c>
      <c r="L136" s="204"/>
      <c r="M136" s="239">
        <f>VLOOKUP($E136,'Restated FC1-Post TB 2023'!$C$10:$D$120,2,FALSE)</f>
        <v>0</v>
      </c>
      <c r="N136" s="198">
        <f t="shared" si="23"/>
        <v>0</v>
      </c>
      <c r="O136" s="203"/>
      <c r="P136" s="203"/>
      <c r="V136" s="203"/>
      <c r="AE136" s="203"/>
      <c r="AF136" s="203"/>
    </row>
    <row r="137" spans="1:36" s="216" customFormat="1" hidden="1" x14ac:dyDescent="0.2">
      <c r="A137" s="205"/>
      <c r="B137" s="205"/>
      <c r="C137" s="205"/>
      <c r="D137" s="201" t="s">
        <v>232</v>
      </c>
      <c r="E137" s="518">
        <v>1060511100</v>
      </c>
      <c r="F137" s="202"/>
      <c r="G137" s="505" t="e">
        <f>VLOOKUP($E137,'tb control'!$C$10:$E$2005,5,FALSE)</f>
        <v>#REF!</v>
      </c>
      <c r="H137" s="448"/>
      <c r="I137" s="203">
        <f>-VLOOKUP(E137,'FC1-Post TB 2024'!$C$10:$F$122,4,FALSE)</f>
        <v>0</v>
      </c>
      <c r="J137" s="203">
        <f>-VLOOKUP($E137,'Restated FC1-Pre TB 2023'!$C$10:$E$271,3,FALSE)</f>
        <v>0</v>
      </c>
      <c r="K137" s="203">
        <f t="shared" si="53"/>
        <v>0</v>
      </c>
      <c r="L137" s="204"/>
      <c r="M137" s="239">
        <f>-VLOOKUP($E137,'Restated FC1-Post TB 2023'!$C$10:$E$120,3,FALSE)</f>
        <v>0</v>
      </c>
      <c r="N137" s="500">
        <f t="shared" si="23"/>
        <v>0</v>
      </c>
      <c r="O137" s="203"/>
      <c r="P137" s="203"/>
      <c r="V137" s="203"/>
      <c r="AE137" s="203"/>
      <c r="AF137" s="203"/>
    </row>
    <row r="138" spans="1:36" s="216" customFormat="1" hidden="1" x14ac:dyDescent="0.2">
      <c r="A138" s="205"/>
      <c r="B138" s="205"/>
      <c r="C138" s="205"/>
      <c r="D138" s="201" t="s">
        <v>279</v>
      </c>
      <c r="E138" s="518"/>
      <c r="F138" s="202"/>
      <c r="G138" s="452"/>
      <c r="H138" s="448"/>
      <c r="I138" s="215">
        <f>SUM(I136:I137)</f>
        <v>0</v>
      </c>
      <c r="J138" s="215">
        <f t="shared" ref="J138:K138" si="54">SUM(J136:J137)</f>
        <v>0</v>
      </c>
      <c r="K138" s="215">
        <f t="shared" si="54"/>
        <v>0</v>
      </c>
      <c r="L138" s="204"/>
      <c r="M138" s="270">
        <f>SUM(M136:M137)</f>
        <v>0</v>
      </c>
      <c r="N138" s="500">
        <f t="shared" si="23"/>
        <v>0</v>
      </c>
      <c r="O138" s="203"/>
      <c r="P138" s="203"/>
      <c r="V138" s="203"/>
      <c r="AE138" s="203"/>
      <c r="AF138" s="203"/>
    </row>
    <row r="139" spans="1:36" x14ac:dyDescent="0.2">
      <c r="C139" s="205"/>
      <c r="D139" s="205" t="s">
        <v>27</v>
      </c>
      <c r="E139" s="518">
        <v>1060513000</v>
      </c>
      <c r="G139" s="504" t="e">
        <f>VLOOKUP($E139,'tb control'!$C$10:$E$2005,5,FALSE)</f>
        <v>#REF!</v>
      </c>
      <c r="I139" s="203">
        <f>VLOOKUP(E139,'FC1-Post TB 2024'!$C$10:$F$122,4,FALSE)</f>
        <v>158769</v>
      </c>
      <c r="J139" s="203">
        <f>VLOOKUP($E139,'Restated FC1-Pre TB 2023'!$C$10:$D$271,2,FALSE)</f>
        <v>158769</v>
      </c>
      <c r="K139" s="203">
        <f t="shared" ref="K139:K140" si="55">M139-J139</f>
        <v>0</v>
      </c>
      <c r="M139" s="239">
        <f>VLOOKUP($E139,'Restated FC1-Post TB 2023'!$C$10:$D$120,2,FALSE)</f>
        <v>158769</v>
      </c>
      <c r="N139" s="198">
        <f t="shared" si="23"/>
        <v>0</v>
      </c>
    </row>
    <row r="140" spans="1:36" x14ac:dyDescent="0.2">
      <c r="C140" s="205"/>
      <c r="D140" s="201" t="s">
        <v>231</v>
      </c>
      <c r="E140" s="518">
        <v>1060513100</v>
      </c>
      <c r="G140" s="505" t="e">
        <f>VLOOKUP($E140,'tb control'!$C$10:$E$2005,5,FALSE)</f>
        <v>#REF!</v>
      </c>
      <c r="I140" s="203">
        <f>-VLOOKUP(E140,'FC1-Post TB 2024'!$C$10:$F$122,4,FALSE)</f>
        <v>-150830.54999999999</v>
      </c>
      <c r="J140" s="203">
        <f>-VLOOKUP($E140,'Restated FC1-Pre TB 2023'!$C$10:$E$271,3,FALSE)</f>
        <v>-150830.54999999999</v>
      </c>
      <c r="K140" s="203">
        <f t="shared" si="55"/>
        <v>0</v>
      </c>
      <c r="M140" s="239">
        <f>-VLOOKUP($E140,'Restated FC1-Post TB 2023'!$C$10:$E$120,3,FALSE)</f>
        <v>-150830.54999999999</v>
      </c>
      <c r="N140" s="500">
        <f t="shared" si="23"/>
        <v>0</v>
      </c>
      <c r="AG140" s="198"/>
      <c r="AH140" s="198"/>
      <c r="AI140" s="198"/>
      <c r="AJ140" s="198"/>
    </row>
    <row r="141" spans="1:36" x14ac:dyDescent="0.2">
      <c r="C141" s="205"/>
      <c r="D141" s="201" t="s">
        <v>279</v>
      </c>
      <c r="E141" s="518"/>
      <c r="G141" s="452"/>
      <c r="I141" s="215">
        <f>SUM(I139:I140)</f>
        <v>7938.4500000000116</v>
      </c>
      <c r="J141" s="215">
        <f t="shared" ref="J141:K141" si="56">SUM(J139:J140)</f>
        <v>7938.4500000000116</v>
      </c>
      <c r="K141" s="215">
        <f t="shared" si="56"/>
        <v>0</v>
      </c>
      <c r="M141" s="270">
        <f>SUM(M139:M140)</f>
        <v>7938.4500000000116</v>
      </c>
      <c r="N141" s="500">
        <f t="shared" si="23"/>
        <v>0</v>
      </c>
      <c r="P141" s="198">
        <f>N130+N145</f>
        <v>915063.10000000009</v>
      </c>
      <c r="AG141" s="198"/>
      <c r="AH141" s="198"/>
      <c r="AI141" s="198"/>
      <c r="AJ141" s="198"/>
    </row>
    <row r="142" spans="1:36" x14ac:dyDescent="0.2">
      <c r="C142" s="205"/>
      <c r="D142" s="205" t="s">
        <v>265</v>
      </c>
      <c r="E142" s="518">
        <v>1060514000</v>
      </c>
      <c r="G142" s="504" t="e">
        <f>VLOOKUP($E142,'tb control'!$C$10:$E$2005,5,FALSE)</f>
        <v>#REF!</v>
      </c>
      <c r="I142" s="203">
        <f>VLOOKUP(E142,'FC1-Post TB 2024'!$C$10:$F$122,4,FALSE)</f>
        <v>435078.56</v>
      </c>
      <c r="J142" s="203">
        <f>VLOOKUP($E142,'Restated FC1-Pre TB 2023'!$C$10:$D$271,2,FALSE)</f>
        <v>305078.56</v>
      </c>
      <c r="K142" s="203">
        <f t="shared" ref="K142:K143" si="57">M142-J142</f>
        <v>0</v>
      </c>
      <c r="M142" s="239">
        <f>VLOOKUP($E142,'Restated FC1-Post TB 2023'!$C$10:$D$120,2,FALSE)</f>
        <v>305078.56</v>
      </c>
      <c r="N142" s="198">
        <f t="shared" si="23"/>
        <v>130000</v>
      </c>
      <c r="P142" s="198">
        <v>-9710249.8900000006</v>
      </c>
    </row>
    <row r="143" spans="1:36" x14ac:dyDescent="0.2">
      <c r="C143" s="205"/>
      <c r="D143" s="201" t="s">
        <v>498</v>
      </c>
      <c r="E143" s="518">
        <v>1060514100</v>
      </c>
      <c r="G143" s="505" t="e">
        <f>VLOOKUP($E143,'tb control'!$C$10:$E$2005,5,FALSE)</f>
        <v>#REF!</v>
      </c>
      <c r="I143" s="203">
        <f>-VLOOKUP(E143,'FC1-Post TB 2024'!$C$10:$F$122,4,FALSE)</f>
        <v>-269936.06</v>
      </c>
      <c r="J143" s="203">
        <f>-VLOOKUP($E143,'Restated FC1-Pre TB 2023'!$C$10:$E$271,3,FALSE)</f>
        <v>-248122.9</v>
      </c>
      <c r="K143" s="203">
        <f t="shared" si="57"/>
        <v>0</v>
      </c>
      <c r="M143" s="239">
        <f>-VLOOKUP($E143,'Restated FC1-Post TB 2023'!$C$10:$E$120,3,FALSE)</f>
        <v>-248122.9</v>
      </c>
      <c r="N143" s="500">
        <f t="shared" si="23"/>
        <v>-21813.160000000003</v>
      </c>
      <c r="O143" s="198">
        <v>13315989.689999999</v>
      </c>
      <c r="P143" s="198">
        <v>1379876.22</v>
      </c>
      <c r="Q143" s="198">
        <f>SUM(N143:P143)</f>
        <v>14674052.75</v>
      </c>
    </row>
    <row r="144" spans="1:36" ht="14.25" customHeight="1" x14ac:dyDescent="0.2">
      <c r="C144" s="205"/>
      <c r="D144" s="201" t="s">
        <v>279</v>
      </c>
      <c r="E144" s="518"/>
      <c r="G144" s="452"/>
      <c r="I144" s="215">
        <f>SUM(I142:I143)</f>
        <v>165142.5</v>
      </c>
      <c r="J144" s="215">
        <f t="shared" ref="J144:K144" si="58">SUM(J142:J143)</f>
        <v>56955.66</v>
      </c>
      <c r="K144" s="215">
        <f t="shared" si="58"/>
        <v>0</v>
      </c>
      <c r="M144" s="270">
        <f>SUM(M142:M143)</f>
        <v>56955.66</v>
      </c>
      <c r="N144" s="500">
        <f t="shared" si="23"/>
        <v>108186.84</v>
      </c>
      <c r="P144" s="198">
        <v>-108635.63</v>
      </c>
    </row>
    <row r="145" spans="1:32" x14ac:dyDescent="0.2">
      <c r="C145" s="205"/>
      <c r="D145" s="205" t="s">
        <v>489</v>
      </c>
      <c r="E145" s="518">
        <v>1060599000</v>
      </c>
      <c r="G145" s="504" t="e">
        <f>VLOOKUP($E145,'tb control'!$C$10:$E$2005,5,FALSE)</f>
        <v>#REF!</v>
      </c>
      <c r="I145" s="203">
        <f>VLOOKUP(E145,'FC1-Post TB 2024'!$C$10:$F$122,4,FALSE)</f>
        <v>1887336.87</v>
      </c>
      <c r="J145" s="203">
        <f>VLOOKUP($E145,'Restated FC1-Pre TB 2023'!$C$10:$D$271,2,FALSE)</f>
        <v>1319463.77</v>
      </c>
      <c r="K145" s="203">
        <f t="shared" ref="K145:K146" si="59">M145-J145</f>
        <v>0</v>
      </c>
      <c r="M145" s="239">
        <f>VLOOKUP($E145,'Restated FC1-Post TB 2023'!$C$10:$D$120,2,FALSE)</f>
        <v>1319463.77</v>
      </c>
      <c r="N145" s="198">
        <f t="shared" ref="N145:N208" si="60">I145-M145</f>
        <v>567873.10000000009</v>
      </c>
      <c r="P145" s="198">
        <v>-222772.49</v>
      </c>
    </row>
    <row r="146" spans="1:32" x14ac:dyDescent="0.2">
      <c r="C146" s="205"/>
      <c r="D146" s="201" t="s">
        <v>490</v>
      </c>
      <c r="E146" s="518">
        <v>1060599100</v>
      </c>
      <c r="G146" s="505" t="e">
        <f>VLOOKUP($E146,'tb control'!$C$10:$E$2005,5,FALSE)</f>
        <v>#REF!</v>
      </c>
      <c r="I146" s="203">
        <f>-VLOOKUP(E146,'FC1-Post TB 2024'!$C$10:$F$122,4,FALSE)</f>
        <v>-781714.57</v>
      </c>
      <c r="J146" s="203">
        <f>-VLOOKUP($E146,'Restated FC1-Pre TB 2023'!$C$10:$E$271,3,FALSE)</f>
        <v>-531016.44999999995</v>
      </c>
      <c r="K146" s="203">
        <f t="shared" si="59"/>
        <v>0</v>
      </c>
      <c r="M146" s="239">
        <f>-VLOOKUP($E146,'Restated FC1-Post TB 2023'!$C$10:$E$120,3,FALSE)</f>
        <v>-531016.44999999995</v>
      </c>
      <c r="N146" s="500">
        <f t="shared" si="60"/>
        <v>-250698.12</v>
      </c>
      <c r="O146" s="198">
        <f>69583785.1+N147</f>
        <v>69900960.079999998</v>
      </c>
      <c r="P146" s="198">
        <v>-280318.33</v>
      </c>
    </row>
    <row r="147" spans="1:32" x14ac:dyDescent="0.2">
      <c r="C147" s="205"/>
      <c r="D147" s="201" t="s">
        <v>279</v>
      </c>
      <c r="E147" s="518"/>
      <c r="G147" s="452"/>
      <c r="I147" s="308">
        <f>SUM(I145:I146)</f>
        <v>1105622.3000000003</v>
      </c>
      <c r="J147" s="308">
        <f t="shared" ref="J147:K147" si="61">SUM(J145:J146)</f>
        <v>788447.32000000007</v>
      </c>
      <c r="K147" s="308">
        <f t="shared" si="61"/>
        <v>0</v>
      </c>
      <c r="M147" s="270">
        <f>SUM(M145:M146)</f>
        <v>788447.32000000007</v>
      </c>
      <c r="N147" s="500">
        <f t="shared" si="60"/>
        <v>317174.98000000021</v>
      </c>
      <c r="O147" s="198">
        <f>O146-I120</f>
        <v>31095487.009999998</v>
      </c>
      <c r="P147" s="198">
        <f>SUM(P142:P146)</f>
        <v>-8942100.120000001</v>
      </c>
    </row>
    <row r="148" spans="1:32" x14ac:dyDescent="0.2">
      <c r="C148" s="205"/>
      <c r="D148" s="201"/>
      <c r="E148" s="518"/>
      <c r="G148" s="452"/>
      <c r="M148" s="239"/>
      <c r="N148" s="198">
        <f t="shared" si="60"/>
        <v>0</v>
      </c>
    </row>
    <row r="149" spans="1:32" x14ac:dyDescent="0.2">
      <c r="C149" s="205" t="s">
        <v>253</v>
      </c>
      <c r="D149" s="201"/>
      <c r="E149" s="518"/>
      <c r="G149" s="452"/>
      <c r="I149" s="206">
        <f>I152</f>
        <v>24371412.379999999</v>
      </c>
      <c r="J149" s="206">
        <f t="shared" ref="J149:K149" si="62">J152</f>
        <v>20959503.529999997</v>
      </c>
      <c r="K149" s="206">
        <f t="shared" si="62"/>
        <v>-907500</v>
      </c>
      <c r="M149" s="266">
        <f>M152</f>
        <v>20052003.529999997</v>
      </c>
      <c r="N149" s="501">
        <f t="shared" si="60"/>
        <v>4319408.8500000015</v>
      </c>
      <c r="P149" s="198">
        <f>I120-P147</f>
        <v>47747573.189999998</v>
      </c>
      <c r="R149" s="198">
        <f>12424479.94-I149</f>
        <v>-11946932.439999999</v>
      </c>
    </row>
    <row r="150" spans="1:32" x14ac:dyDescent="0.2">
      <c r="C150" s="205"/>
      <c r="D150" s="205" t="s">
        <v>28</v>
      </c>
      <c r="E150" s="518">
        <v>1060601000</v>
      </c>
      <c r="F150" s="451"/>
      <c r="G150" s="504" t="e">
        <f>VLOOKUP($E150,'tb control'!$C$10:$E$2005,5,FALSE)</f>
        <v>#REF!</v>
      </c>
      <c r="I150" s="203">
        <f>VLOOKUP(E150,'FC1-Post TB 2024'!$C$10:$F$122,4,FALSE)</f>
        <v>53384186.759999998</v>
      </c>
      <c r="J150" s="203">
        <f>VLOOKUP($E150,'Restated FC1-Pre TB 2023'!$C$10:$D$271,2,FALSE)</f>
        <v>46844541.759999998</v>
      </c>
      <c r="K150" s="203">
        <f t="shared" ref="K150:K151" si="63">M150-J150</f>
        <v>-907500</v>
      </c>
      <c r="M150" s="239">
        <f>VLOOKUP($E150,'Restated FC1-Post TB 2023'!$C$10:$D$120,2,FALSE)</f>
        <v>45937041.759999998</v>
      </c>
      <c r="N150" s="198">
        <f t="shared" si="60"/>
        <v>7447145</v>
      </c>
      <c r="O150" s="198">
        <f>16114997.38+N151</f>
        <v>12987261.230000002</v>
      </c>
      <c r="R150" s="198">
        <v>32305393.719999999</v>
      </c>
      <c r="S150" s="198"/>
    </row>
    <row r="151" spans="1:32" x14ac:dyDescent="0.2">
      <c r="C151" s="205"/>
      <c r="D151" s="201" t="s">
        <v>499</v>
      </c>
      <c r="E151" s="518">
        <v>1060601100</v>
      </c>
      <c r="G151" s="505" t="e">
        <f>VLOOKUP($E151,'tb control'!$C$10:$E$2005,5,FALSE)</f>
        <v>#REF!</v>
      </c>
      <c r="I151" s="203">
        <f>-VLOOKUP(E151,'FC1-Post TB 2024'!$C$10:$F$122,4,FALSE)</f>
        <v>-29012774.379999999</v>
      </c>
      <c r="J151" s="203">
        <f>-VLOOKUP($E151,'Restated FC1-Pre TB 2023'!$C$10:$E$271,3,FALSE)</f>
        <v>-25885038.23</v>
      </c>
      <c r="K151" s="203">
        <f t="shared" si="63"/>
        <v>0</v>
      </c>
      <c r="M151" s="239">
        <f>-VLOOKUP($E151,'Restated FC1-Post TB 2023'!$C$10:$E$120,3,FALSE)</f>
        <v>-25885038.23</v>
      </c>
      <c r="N151" s="500">
        <f t="shared" si="60"/>
        <v>-3127736.1499999985</v>
      </c>
      <c r="O151" s="198">
        <f>39219743.2+N151</f>
        <v>36092007.050000004</v>
      </c>
    </row>
    <row r="152" spans="1:32" s="216" customFormat="1" x14ac:dyDescent="0.2">
      <c r="A152" s="205"/>
      <c r="B152" s="205"/>
      <c r="C152" s="201"/>
      <c r="D152" s="201" t="s">
        <v>279</v>
      </c>
      <c r="E152" s="518"/>
      <c r="F152" s="202"/>
      <c r="G152" s="452"/>
      <c r="H152" s="448"/>
      <c r="I152" s="215">
        <f>SUM(I150:I151)</f>
        <v>24371412.379999999</v>
      </c>
      <c r="J152" s="215">
        <f t="shared" ref="J152:L152" si="64">SUM(J150:J151)</f>
        <v>20959503.529999997</v>
      </c>
      <c r="K152" s="215">
        <f t="shared" si="64"/>
        <v>-907500</v>
      </c>
      <c r="L152" s="215">
        <f t="shared" si="64"/>
        <v>0</v>
      </c>
      <c r="M152" s="270">
        <f>SUM(M150:M151)</f>
        <v>20052003.529999997</v>
      </c>
      <c r="N152" s="500">
        <f t="shared" si="60"/>
        <v>4319408.8500000015</v>
      </c>
      <c r="O152" s="203">
        <f>M149+N150+N152</f>
        <v>31818557.379999999</v>
      </c>
      <c r="P152" s="203"/>
      <c r="V152" s="203"/>
      <c r="AE152" s="203"/>
      <c r="AF152" s="203"/>
    </row>
    <row r="153" spans="1:32" s="216" customFormat="1" x14ac:dyDescent="0.2">
      <c r="A153" s="205"/>
      <c r="B153" s="205"/>
      <c r="C153" s="201"/>
      <c r="D153" s="201"/>
      <c r="E153" s="518"/>
      <c r="F153" s="202"/>
      <c r="G153" s="452"/>
      <c r="H153" s="448"/>
      <c r="I153" s="207"/>
      <c r="J153" s="207"/>
      <c r="K153" s="207"/>
      <c r="L153" s="204"/>
      <c r="M153" s="239"/>
      <c r="N153" s="198">
        <f t="shared" si="60"/>
        <v>0</v>
      </c>
      <c r="O153" s="203">
        <f>O152-I149</f>
        <v>7447145</v>
      </c>
      <c r="P153" s="203"/>
      <c r="V153" s="203"/>
      <c r="AE153" s="203"/>
      <c r="AF153" s="203"/>
    </row>
    <row r="154" spans="1:32" s="216" customFormat="1" x14ac:dyDescent="0.2">
      <c r="A154" s="205"/>
      <c r="B154" s="205"/>
      <c r="C154" s="201" t="s">
        <v>251</v>
      </c>
      <c r="D154" s="201"/>
      <c r="E154" s="518"/>
      <c r="F154" s="202"/>
      <c r="G154" s="452"/>
      <c r="H154" s="448"/>
      <c r="I154" s="206">
        <f>SUM(I157,I161)</f>
        <v>150875.91</v>
      </c>
      <c r="J154" s="206">
        <f t="shared" ref="J154:K154" si="65">SUM(J157,J161)</f>
        <v>230216.05</v>
      </c>
      <c r="K154" s="206">
        <f t="shared" si="65"/>
        <v>0</v>
      </c>
      <c r="L154" s="204"/>
      <c r="M154" s="266">
        <f>SUM(M157,M161)</f>
        <v>230216.05</v>
      </c>
      <c r="N154" s="501">
        <f t="shared" si="60"/>
        <v>-79340.139999999985</v>
      </c>
      <c r="O154" s="203"/>
      <c r="P154" s="203"/>
      <c r="V154" s="203"/>
      <c r="AE154" s="203"/>
      <c r="AF154" s="203"/>
    </row>
    <row r="155" spans="1:32" s="216" customFormat="1" x14ac:dyDescent="0.2">
      <c r="A155" s="205"/>
      <c r="B155" s="205"/>
      <c r="C155" s="205"/>
      <c r="D155" s="205" t="s">
        <v>189</v>
      </c>
      <c r="E155" s="518">
        <v>1060701000</v>
      </c>
      <c r="F155" s="202"/>
      <c r="G155" s="504" t="e">
        <f>VLOOKUP($E155,'tb control'!$C$10:$E$2005,5,FALSE)</f>
        <v>#REF!</v>
      </c>
      <c r="H155" s="448"/>
      <c r="I155" s="203">
        <f>VLOOKUP(E155,'FC1-Post TB 2024'!$C$10:$F$122,4,FALSE)</f>
        <v>330000</v>
      </c>
      <c r="J155" s="203">
        <f>VLOOKUP($E155,'Restated FC1-Pre TB 2023'!$C$10:$D$271,2,FALSE)</f>
        <v>400810</v>
      </c>
      <c r="K155" s="203">
        <f t="shared" ref="K155:K156" si="66">M155-J155</f>
        <v>0</v>
      </c>
      <c r="L155" s="204"/>
      <c r="M155" s="239">
        <f>VLOOKUP($E155,'Restated FC1-Post TB 2023'!$C$10:$D$120,2,FALSE)</f>
        <v>400810</v>
      </c>
      <c r="N155" s="198">
        <f t="shared" si="60"/>
        <v>-70810</v>
      </c>
      <c r="O155" s="203">
        <f>N155+M154</f>
        <v>159406.04999999999</v>
      </c>
      <c r="P155" s="203"/>
      <c r="V155" s="203"/>
      <c r="AE155" s="203"/>
      <c r="AF155" s="203"/>
    </row>
    <row r="156" spans="1:32" s="216" customFormat="1" x14ac:dyDescent="0.2">
      <c r="A156" s="205"/>
      <c r="B156" s="205"/>
      <c r="C156" s="205"/>
      <c r="D156" s="201" t="s">
        <v>89</v>
      </c>
      <c r="E156" s="518">
        <v>1060701100</v>
      </c>
      <c r="F156" s="202"/>
      <c r="G156" s="505" t="e">
        <f>VLOOKUP($E156,'tb control'!$C$10:$E$2005,5,FALSE)</f>
        <v>#REF!</v>
      </c>
      <c r="H156" s="448"/>
      <c r="I156" s="203">
        <f>-VLOOKUP(E156,'FC1-Post TB 2024'!$C$10:$F$122,4,FALSE)</f>
        <v>-179124.09</v>
      </c>
      <c r="J156" s="203">
        <f>-VLOOKUP($E156,'Restated FC1-Pre TB 2023'!$C$10:$E$271,3,FALSE)</f>
        <v>-170593.95</v>
      </c>
      <c r="K156" s="203">
        <f t="shared" si="66"/>
        <v>0</v>
      </c>
      <c r="L156" s="204"/>
      <c r="M156" s="239">
        <f>-VLOOKUP($E156,'Restated FC1-Post TB 2023'!$C$10:$E$120,3,FALSE)</f>
        <v>-170593.95</v>
      </c>
      <c r="N156" s="500">
        <f t="shared" si="60"/>
        <v>-8530.1399999999849</v>
      </c>
      <c r="O156" s="203">
        <f>O155+N156</f>
        <v>150875.91</v>
      </c>
      <c r="P156" s="203">
        <f>O156-I154</f>
        <v>0</v>
      </c>
      <c r="R156" s="216">
        <f>I156+I160</f>
        <v>-179124.09</v>
      </c>
      <c r="V156" s="203"/>
      <c r="AE156" s="203"/>
      <c r="AF156" s="203"/>
    </row>
    <row r="157" spans="1:32" s="216" customFormat="1" x14ac:dyDescent="0.2">
      <c r="A157" s="205"/>
      <c r="B157" s="205"/>
      <c r="C157" s="205"/>
      <c r="D157" s="201" t="s">
        <v>279</v>
      </c>
      <c r="E157" s="518"/>
      <c r="F157" s="202"/>
      <c r="G157" s="452"/>
      <c r="H157" s="448"/>
      <c r="I157" s="215">
        <f>SUM(I155:I156)</f>
        <v>150875.91</v>
      </c>
      <c r="J157" s="215">
        <f t="shared" ref="J157:K157" si="67">SUM(J155:J156)</f>
        <v>230216.05</v>
      </c>
      <c r="K157" s="215">
        <f t="shared" si="67"/>
        <v>0</v>
      </c>
      <c r="L157" s="204"/>
      <c r="M157" s="270">
        <f>SUM(M155:M156)</f>
        <v>230216.05</v>
      </c>
      <c r="N157" s="500">
        <f t="shared" si="60"/>
        <v>-79340.139999999985</v>
      </c>
      <c r="O157" s="203"/>
      <c r="P157" s="203"/>
      <c r="V157" s="203"/>
      <c r="AE157" s="203"/>
      <c r="AF157" s="203"/>
    </row>
    <row r="158" spans="1:32" s="216" customFormat="1" hidden="1" x14ac:dyDescent="0.2">
      <c r="A158" s="205"/>
      <c r="B158" s="205"/>
      <c r="C158" s="205"/>
      <c r="D158" s="201"/>
      <c r="E158" s="518"/>
      <c r="F158" s="202"/>
      <c r="G158" s="452"/>
      <c r="H158" s="448"/>
      <c r="I158" s="203"/>
      <c r="J158" s="203"/>
      <c r="K158" s="203"/>
      <c r="L158" s="204"/>
      <c r="M158" s="239"/>
      <c r="N158" s="198">
        <f t="shared" si="60"/>
        <v>0</v>
      </c>
      <c r="O158" s="203"/>
      <c r="P158" s="203"/>
      <c r="V158" s="203"/>
      <c r="AE158" s="203"/>
      <c r="AF158" s="203"/>
    </row>
    <row r="159" spans="1:32" s="216" customFormat="1" hidden="1" x14ac:dyDescent="0.2">
      <c r="A159" s="205"/>
      <c r="B159" s="205"/>
      <c r="C159" s="205"/>
      <c r="D159" s="205" t="s">
        <v>101</v>
      </c>
      <c r="E159" s="518">
        <v>1060702000</v>
      </c>
      <c r="F159" s="202"/>
      <c r="G159" s="504" t="e">
        <f>VLOOKUP($E159,'tb control'!$C$10:$E$2005,5,FALSE)</f>
        <v>#REF!</v>
      </c>
      <c r="H159" s="448"/>
      <c r="I159" s="203">
        <f>VLOOKUP(E159,'FC1-Post TB 2024'!$C$10:$F$122,4,FALSE)</f>
        <v>0</v>
      </c>
      <c r="J159" s="203">
        <f>VLOOKUP($E159,'Restated FC1-Pre TB 2023'!$C$10:$D$271,2,FALSE)</f>
        <v>0</v>
      </c>
      <c r="K159" s="203">
        <f t="shared" ref="K159:K160" si="68">M159-J159</f>
        <v>0</v>
      </c>
      <c r="L159" s="204"/>
      <c r="M159" s="239">
        <f>VLOOKUP($E159,'Restated FC1-Post TB 2023'!$C$10:$D$120,2,FALSE)</f>
        <v>0</v>
      </c>
      <c r="N159" s="198">
        <f t="shared" si="60"/>
        <v>0</v>
      </c>
      <c r="O159" s="203"/>
      <c r="P159" s="203"/>
      <c r="V159" s="203"/>
      <c r="AE159" s="203"/>
      <c r="AF159" s="203"/>
    </row>
    <row r="160" spans="1:32" s="216" customFormat="1" hidden="1" x14ac:dyDescent="0.2">
      <c r="A160" s="205"/>
      <c r="B160" s="205"/>
      <c r="C160" s="205"/>
      <c r="D160" s="201" t="s">
        <v>107</v>
      </c>
      <c r="E160" s="518">
        <v>1060702100</v>
      </c>
      <c r="F160" s="202"/>
      <c r="G160" s="505" t="e">
        <f>VLOOKUP($E160,'tb control'!$C$10:$E$2005,5,FALSE)</f>
        <v>#REF!</v>
      </c>
      <c r="H160" s="448"/>
      <c r="I160" s="209">
        <f>-VLOOKUP(E160,'FC1-Post TB 2024'!$C$10:$F$122,4,FALSE)</f>
        <v>0</v>
      </c>
      <c r="J160" s="209">
        <f>-VLOOKUP($E160,'Restated FC1-Pre TB 2023'!$C$10:$E$271,3,FALSE)</f>
        <v>0</v>
      </c>
      <c r="K160" s="209">
        <f t="shared" si="68"/>
        <v>0</v>
      </c>
      <c r="L160" s="204"/>
      <c r="M160" s="239">
        <f>-VLOOKUP($E160,'Restated FC1-Post TB 2023'!$C$10:$E$120,3,FALSE)</f>
        <v>0</v>
      </c>
      <c r="N160" s="500">
        <f t="shared" si="60"/>
        <v>0</v>
      </c>
      <c r="O160" s="203"/>
      <c r="P160" s="203"/>
      <c r="V160" s="203"/>
      <c r="AE160" s="203"/>
      <c r="AF160" s="203"/>
    </row>
    <row r="161" spans="1:32" s="216" customFormat="1" hidden="1" x14ac:dyDescent="0.2">
      <c r="A161" s="205"/>
      <c r="B161" s="205"/>
      <c r="C161" s="205"/>
      <c r="D161" s="201" t="s">
        <v>279</v>
      </c>
      <c r="E161" s="518"/>
      <c r="F161" s="202"/>
      <c r="G161" s="452"/>
      <c r="H161" s="448"/>
      <c r="I161" s="209">
        <f>SUM(I159:I160)</f>
        <v>0</v>
      </c>
      <c r="J161" s="209"/>
      <c r="K161" s="209"/>
      <c r="L161" s="413"/>
      <c r="M161" s="270">
        <f>SUM(M159:M160)</f>
        <v>0</v>
      </c>
      <c r="N161" s="500">
        <f t="shared" si="60"/>
        <v>0</v>
      </c>
      <c r="O161" s="203"/>
      <c r="P161" s="203"/>
      <c r="V161" s="203"/>
      <c r="AE161" s="203"/>
      <c r="AF161" s="203"/>
    </row>
    <row r="162" spans="1:32" hidden="1" x14ac:dyDescent="0.2">
      <c r="C162" s="205"/>
      <c r="D162" s="201"/>
      <c r="E162" s="518"/>
      <c r="G162" s="452"/>
      <c r="M162" s="239"/>
      <c r="N162" s="198">
        <f t="shared" si="60"/>
        <v>0</v>
      </c>
    </row>
    <row r="163" spans="1:32" hidden="1" x14ac:dyDescent="0.2">
      <c r="C163" s="205" t="s">
        <v>190</v>
      </c>
      <c r="D163" s="201"/>
      <c r="E163" s="518"/>
      <c r="G163" s="452"/>
      <c r="I163" s="206">
        <f>I166</f>
        <v>0</v>
      </c>
      <c r="J163" s="206"/>
      <c r="K163" s="206"/>
      <c r="M163" s="266">
        <f>M166</f>
        <v>0</v>
      </c>
      <c r="N163" s="500">
        <f t="shared" si="60"/>
        <v>0</v>
      </c>
    </row>
    <row r="164" spans="1:32" hidden="1" x14ac:dyDescent="0.2">
      <c r="C164" s="205"/>
      <c r="D164" s="205" t="s">
        <v>190</v>
      </c>
      <c r="E164" s="518">
        <v>1069999000</v>
      </c>
      <c r="G164" s="504" t="e">
        <f>VLOOKUP($E164,'tb control'!$C$10:$E$2005,5,FALSE)</f>
        <v>#REF!</v>
      </c>
      <c r="I164" s="203">
        <f>VLOOKUP(E164,'FC1-Post TB 2024'!$C$10:$F$122,4,FALSE)</f>
        <v>0</v>
      </c>
      <c r="J164" s="203">
        <f>VLOOKUP($E164,'Restated FC1-Pre TB 2023'!$C$10:$D$271,2,FALSE)</f>
        <v>0</v>
      </c>
      <c r="M164" s="239">
        <f>VLOOKUP($E164,'Restated FC1-Post TB 2023'!$C$10:$D$120,2,FALSE)</f>
        <v>0</v>
      </c>
      <c r="N164" s="198">
        <f t="shared" si="60"/>
        <v>0</v>
      </c>
    </row>
    <row r="165" spans="1:32" hidden="1" x14ac:dyDescent="0.2">
      <c r="D165" s="201" t="s">
        <v>93</v>
      </c>
      <c r="E165" s="518">
        <v>1069999100</v>
      </c>
      <c r="G165" s="505" t="e">
        <f>VLOOKUP($E165,'tb control'!$C$10:$E$2005,5,FALSE)</f>
        <v>#REF!</v>
      </c>
      <c r="I165" s="209">
        <f>-VLOOKUP(E165,'FC1-Post TB 2024'!$C$10:$F$122,4,FALSE)</f>
        <v>0</v>
      </c>
      <c r="J165" s="203">
        <f>-VLOOKUP($E165,'Restated FC1-Pre TB 2023'!$C$10:$E$271,3,FALSE)</f>
        <v>0</v>
      </c>
      <c r="K165" s="209"/>
      <c r="L165" s="413"/>
      <c r="M165" s="239">
        <f>-VLOOKUP($E165,'Restated FC1-Post TB 2023'!$C$10:$E$120,3,FALSE)</f>
        <v>0</v>
      </c>
      <c r="N165" s="500">
        <f t="shared" si="60"/>
        <v>0</v>
      </c>
    </row>
    <row r="166" spans="1:32" hidden="1" x14ac:dyDescent="0.2">
      <c r="D166" s="201" t="s">
        <v>279</v>
      </c>
      <c r="E166" s="518"/>
      <c r="G166" s="452"/>
      <c r="I166" s="215">
        <f>SUM(I164:I165)</f>
        <v>0</v>
      </c>
      <c r="J166" s="215">
        <f t="shared" ref="J166:M166" si="69">SUM(J164:J165)</f>
        <v>0</v>
      </c>
      <c r="K166" s="215">
        <f t="shared" si="69"/>
        <v>0</v>
      </c>
      <c r="L166" s="215">
        <f t="shared" si="69"/>
        <v>0</v>
      </c>
      <c r="M166" s="215">
        <f t="shared" si="69"/>
        <v>0</v>
      </c>
      <c r="N166" s="500">
        <f t="shared" si="60"/>
        <v>0</v>
      </c>
    </row>
    <row r="167" spans="1:32" x14ac:dyDescent="0.2">
      <c r="C167" s="205"/>
      <c r="D167" s="201"/>
      <c r="E167" s="518"/>
      <c r="G167" s="452"/>
      <c r="I167" s="207"/>
      <c r="J167" s="207"/>
      <c r="K167" s="207"/>
      <c r="M167" s="239"/>
      <c r="N167" s="198">
        <f t="shared" si="60"/>
        <v>0</v>
      </c>
    </row>
    <row r="168" spans="1:32" x14ac:dyDescent="0.2">
      <c r="C168" s="205" t="s">
        <v>244</v>
      </c>
      <c r="D168" s="201"/>
      <c r="E168" s="518"/>
      <c r="G168" s="453" t="s">
        <v>432</v>
      </c>
      <c r="I168" s="206">
        <f>I169</f>
        <v>13457915.16</v>
      </c>
      <c r="J168" s="206">
        <f t="shared" ref="J168:K168" si="70">J169</f>
        <v>60677988.810000002</v>
      </c>
      <c r="K168" s="206">
        <f t="shared" si="70"/>
        <v>-5313873</v>
      </c>
      <c r="L168" s="213"/>
      <c r="M168" s="266">
        <f>M169</f>
        <v>55364115.810000002</v>
      </c>
      <c r="N168" s="501">
        <f t="shared" si="60"/>
        <v>-41906200.650000006</v>
      </c>
      <c r="R168" s="198">
        <f>I168-27671196.92</f>
        <v>-14213281.760000002</v>
      </c>
      <c r="S168" s="198"/>
    </row>
    <row r="169" spans="1:32" ht="25.5" x14ac:dyDescent="0.2">
      <c r="C169" s="205"/>
      <c r="D169" s="218" t="s">
        <v>230</v>
      </c>
      <c r="E169" s="518">
        <v>1069803000</v>
      </c>
      <c r="G169" s="452"/>
      <c r="I169" s="203">
        <f>VLOOKUP(E169,'FC1-Post TB 2024'!$C$10:$F$122,4,FALSE)</f>
        <v>13457915.16</v>
      </c>
      <c r="J169" s="203">
        <f>VLOOKUP($E169,'Restated FC1-Pre TB 2023'!$C$10:$D$271,2,FALSE)</f>
        <v>60677988.810000002</v>
      </c>
      <c r="K169" s="203">
        <f t="shared" ref="K169" si="71">M169-J169</f>
        <v>-5313873</v>
      </c>
      <c r="M169" s="239">
        <f>VLOOKUP($E169,'Restated FC1-Post TB 2023'!$C$10:$D$120,2,FALSE)</f>
        <v>55364115.810000002</v>
      </c>
      <c r="N169" s="198">
        <f t="shared" si="60"/>
        <v>-41906200.650000006</v>
      </c>
    </row>
    <row r="170" spans="1:32" x14ac:dyDescent="0.2">
      <c r="C170" s="205"/>
      <c r="D170" s="218"/>
      <c r="E170" s="518"/>
      <c r="G170" s="452"/>
      <c r="I170" s="207"/>
      <c r="J170" s="207"/>
      <c r="K170" s="207"/>
      <c r="M170" s="239"/>
    </row>
    <row r="171" spans="1:32" x14ac:dyDescent="0.2">
      <c r="C171" s="205" t="s">
        <v>420</v>
      </c>
      <c r="D171" s="218"/>
      <c r="E171" s="518">
        <v>1060803000</v>
      </c>
      <c r="G171" s="453" t="s">
        <v>433</v>
      </c>
      <c r="I171" s="206">
        <f>SUM(I172:I173)</f>
        <v>534787.5</v>
      </c>
      <c r="J171" s="206">
        <f t="shared" ref="J171:K171" si="72">SUM(J172:J173)</f>
        <v>98362.5</v>
      </c>
      <c r="K171" s="206">
        <f t="shared" si="72"/>
        <v>0</v>
      </c>
      <c r="L171" s="212"/>
      <c r="M171" s="266">
        <f>M172+M173</f>
        <v>98362.5</v>
      </c>
      <c r="N171" s="501">
        <f t="shared" si="60"/>
        <v>436425</v>
      </c>
      <c r="S171" s="198"/>
      <c r="AE171" s="198">
        <f>M171-[14]FC1SFP!$K$164</f>
        <v>-503954.31000000006</v>
      </c>
    </row>
    <row r="172" spans="1:32" x14ac:dyDescent="0.2">
      <c r="C172" s="205"/>
      <c r="D172" s="218" t="s">
        <v>420</v>
      </c>
      <c r="E172" s="518">
        <v>1060803000</v>
      </c>
      <c r="G172" s="452"/>
      <c r="I172" s="203">
        <f>VLOOKUP(E172,'FC1-Post TB 2024'!$C$10:$F$122,4,FALSE)</f>
        <v>577680</v>
      </c>
      <c r="J172" s="203">
        <f>VLOOKUP($E172,'Restated FC1-Pre TB 2023'!$C$10:$D$271,2,FALSE)</f>
        <v>129000</v>
      </c>
      <c r="K172" s="203">
        <f t="shared" ref="K172:K173" si="73">M172-J172</f>
        <v>0</v>
      </c>
      <c r="M172" s="239">
        <f>VLOOKUP($E172,'Restated FC1-Post TB 2023'!$C$10:$D$120,2,FALSE)</f>
        <v>129000</v>
      </c>
      <c r="N172" s="198">
        <f t="shared" si="60"/>
        <v>448680</v>
      </c>
      <c r="O172" s="198">
        <f>M171-N172+I173</f>
        <v>-393210</v>
      </c>
    </row>
    <row r="173" spans="1:32" ht="12" customHeight="1" x14ac:dyDescent="0.2">
      <c r="C173" s="205"/>
      <c r="D173" s="218" t="s">
        <v>418</v>
      </c>
      <c r="E173" s="518">
        <v>1060803100</v>
      </c>
      <c r="G173" s="452"/>
      <c r="I173" s="203">
        <f>-VLOOKUP(E173,'FC1-Post TB 2024'!$C$10:$F$122,4,FALSE)</f>
        <v>-42892.5</v>
      </c>
      <c r="J173" s="203">
        <f>-VLOOKUP($E173,'Restated FC1-Pre TB 2023'!$C$10:$E$271,3,FALSE)</f>
        <v>-30637.5</v>
      </c>
      <c r="K173" s="203">
        <f t="shared" si="73"/>
        <v>0</v>
      </c>
      <c r="M173" s="239">
        <f>-VLOOKUP($E173,'Restated FC1-Post TB 2023'!$C$10:$E$120,3,FALSE)</f>
        <v>-30637.5</v>
      </c>
      <c r="N173" s="198">
        <f t="shared" si="60"/>
        <v>-12255</v>
      </c>
    </row>
    <row r="174" spans="1:32" hidden="1" x14ac:dyDescent="0.2">
      <c r="C174" s="205"/>
      <c r="D174" s="218"/>
      <c r="E174" s="518"/>
      <c r="G174" s="452"/>
      <c r="I174" s="207"/>
      <c r="J174" s="207"/>
      <c r="K174" s="207"/>
      <c r="M174" s="239"/>
      <c r="S174" s="198"/>
      <c r="T174" s="198"/>
      <c r="U174" s="198"/>
    </row>
    <row r="175" spans="1:32" x14ac:dyDescent="0.2">
      <c r="E175" s="518"/>
      <c r="G175" s="447"/>
      <c r="M175" s="239"/>
      <c r="S175" s="198"/>
      <c r="T175" s="198"/>
      <c r="U175" s="198"/>
    </row>
    <row r="176" spans="1:32" x14ac:dyDescent="0.2">
      <c r="A176" s="214"/>
      <c r="B176" s="214" t="s">
        <v>356</v>
      </c>
      <c r="E176" s="518"/>
      <c r="G176" s="447" t="s">
        <v>435</v>
      </c>
      <c r="I176" s="206">
        <f>I179</f>
        <v>902692.24</v>
      </c>
      <c r="J176" s="206">
        <f t="shared" ref="J176:L176" si="74">J179</f>
        <v>997450</v>
      </c>
      <c r="K176" s="206">
        <f t="shared" si="74"/>
        <v>0</v>
      </c>
      <c r="L176" s="206">
        <f t="shared" si="74"/>
        <v>0</v>
      </c>
      <c r="M176" s="266">
        <f>M179</f>
        <v>997450</v>
      </c>
      <c r="N176" s="501">
        <f t="shared" si="60"/>
        <v>-94757.760000000009</v>
      </c>
      <c r="S176" s="198"/>
    </row>
    <row r="177" spans="1:32" x14ac:dyDescent="0.2">
      <c r="B177" s="214"/>
      <c r="C177" s="201" t="s">
        <v>229</v>
      </c>
      <c r="E177" s="518">
        <v>1080102000</v>
      </c>
      <c r="I177" s="203">
        <f>VLOOKUP(E177,'FC1-Post TB 2024'!$C$10:$F$122,4,FALSE)</f>
        <v>997450</v>
      </c>
      <c r="J177" s="203">
        <f>VLOOKUP($E177,'Restated FC1-Pre TB 2023'!$C$10:$D$271,2,FALSE)</f>
        <v>997450</v>
      </c>
      <c r="K177" s="203">
        <f t="shared" ref="K177" si="75">M177-J177</f>
        <v>0</v>
      </c>
      <c r="M177" s="239">
        <f>VLOOKUP($E177,'Restated FC1-Post TB 2023'!$C$10:$D$120,2,FALSE)</f>
        <v>997450</v>
      </c>
      <c r="N177" s="198">
        <f t="shared" si="60"/>
        <v>0</v>
      </c>
      <c r="O177" s="203"/>
      <c r="S177" s="198"/>
    </row>
    <row r="178" spans="1:32" s="216" customFormat="1" x14ac:dyDescent="0.2">
      <c r="A178" s="205"/>
      <c r="B178" s="205"/>
      <c r="C178" s="201" t="s">
        <v>355</v>
      </c>
      <c r="D178" s="201"/>
      <c r="E178" s="518">
        <v>1080102100</v>
      </c>
      <c r="F178" s="202"/>
      <c r="G178" s="452"/>
      <c r="H178" s="448"/>
      <c r="I178" s="203">
        <f>-VLOOKUP(E178,'FC1-Post TB 2024'!$C$10:$F$122,4,FALSE)</f>
        <v>-94757.759999999995</v>
      </c>
      <c r="J178" s="203">
        <f>-VLOOKUP($E178,'Restated FC1-Pre TB 2023'!$C$10:$E$271,3,FALSE)</f>
        <v>0</v>
      </c>
      <c r="K178" s="203"/>
      <c r="L178" s="204"/>
      <c r="M178" s="239">
        <f>-VLOOKUP($E178,'Restated FC1-Post TB 2023'!$C$10:$E$120,3,FALSE)</f>
        <v>0</v>
      </c>
      <c r="N178" s="500">
        <f t="shared" si="60"/>
        <v>-94757.759999999995</v>
      </c>
      <c r="O178" s="203"/>
      <c r="P178" s="203"/>
      <c r="S178" s="203"/>
      <c r="V178" s="203"/>
      <c r="AE178" s="203"/>
      <c r="AF178" s="203"/>
    </row>
    <row r="179" spans="1:32" s="216" customFormat="1" x14ac:dyDescent="0.2">
      <c r="A179" s="205"/>
      <c r="B179" s="205"/>
      <c r="C179" s="201" t="s">
        <v>279</v>
      </c>
      <c r="D179" s="201"/>
      <c r="E179" s="518"/>
      <c r="F179" s="202"/>
      <c r="G179" s="452"/>
      <c r="H179" s="448"/>
      <c r="I179" s="219">
        <f>SUM(I177:I178)</f>
        <v>902692.24</v>
      </c>
      <c r="J179" s="219">
        <f t="shared" ref="J179:K179" si="76">SUM(J177:J178)</f>
        <v>997450</v>
      </c>
      <c r="K179" s="219">
        <f t="shared" si="76"/>
        <v>0</v>
      </c>
      <c r="L179" s="204"/>
      <c r="M179" s="271">
        <f>SUM(M177:M178)</f>
        <v>997450</v>
      </c>
      <c r="N179" s="198">
        <f t="shared" si="60"/>
        <v>-94757.760000000009</v>
      </c>
      <c r="O179" s="203"/>
      <c r="P179" s="203"/>
      <c r="S179" s="203"/>
      <c r="V179" s="203"/>
      <c r="AE179" s="203"/>
      <c r="AF179" s="203"/>
    </row>
    <row r="180" spans="1:32" hidden="1" x14ac:dyDescent="0.2">
      <c r="E180" s="518"/>
      <c r="M180" s="239"/>
      <c r="S180" s="198"/>
    </row>
    <row r="181" spans="1:32" x14ac:dyDescent="0.2">
      <c r="E181" s="518"/>
      <c r="M181" s="239"/>
      <c r="S181" s="198"/>
      <c r="T181" s="198"/>
      <c r="U181" s="198"/>
    </row>
    <row r="182" spans="1:32" x14ac:dyDescent="0.2">
      <c r="B182" s="214" t="s">
        <v>280</v>
      </c>
      <c r="E182" s="518"/>
      <c r="I182" s="206">
        <f>SUM(I103,I100,I176)</f>
        <v>261248503.51999998</v>
      </c>
      <c r="J182" s="206">
        <f t="shared" ref="J182:K182" si="77">SUM(J103,J100,J176)</f>
        <v>236064013.38000003</v>
      </c>
      <c r="K182" s="206">
        <f t="shared" si="77"/>
        <v>-10688709.869999997</v>
      </c>
      <c r="L182" s="213"/>
      <c r="M182" s="266">
        <f>SUM(M103,M100,M176)+M168+M171</f>
        <v>225375303.51000002</v>
      </c>
      <c r="N182" s="501">
        <f t="shared" si="60"/>
        <v>35873200.009999961</v>
      </c>
      <c r="O182" s="203"/>
      <c r="S182" s="198"/>
      <c r="T182" s="198"/>
      <c r="U182" s="198"/>
      <c r="AE182" s="198">
        <f>M182-[14]FC1SFP!$K$175</f>
        <v>31762873.140000015</v>
      </c>
    </row>
    <row r="183" spans="1:32" x14ac:dyDescent="0.2">
      <c r="E183" s="518"/>
      <c r="M183" s="239"/>
      <c r="S183" s="198"/>
    </row>
    <row r="184" spans="1:32" x14ac:dyDescent="0.2">
      <c r="D184" s="220" t="s">
        <v>191</v>
      </c>
      <c r="E184" s="519"/>
      <c r="H184" s="448" t="s">
        <v>182</v>
      </c>
      <c r="I184" s="206">
        <f>I182+I97</f>
        <v>947741092.55999994</v>
      </c>
      <c r="J184" s="206">
        <f t="shared" ref="J184:K184" si="78">J182+J97</f>
        <v>1655830262.54</v>
      </c>
      <c r="K184" s="206">
        <f t="shared" si="78"/>
        <v>-1123424963.2391665</v>
      </c>
      <c r="L184" s="212"/>
      <c r="M184" s="266">
        <f>M182+M97</f>
        <v>532405299.30083346</v>
      </c>
      <c r="N184" s="501">
        <f t="shared" si="60"/>
        <v>415335793.25916648</v>
      </c>
      <c r="P184" s="198">
        <v>1226229852.2525375</v>
      </c>
      <c r="Q184" s="198">
        <f>I184-P184</f>
        <v>-278488759.69253755</v>
      </c>
      <c r="AE184" s="198">
        <f>M184-[14]FC1SFP!$K$177</f>
        <v>-1355242536.3791664</v>
      </c>
    </row>
    <row r="185" spans="1:32" hidden="1" x14ac:dyDescent="0.2">
      <c r="E185" s="518"/>
      <c r="M185" s="239"/>
      <c r="N185" s="198">
        <f t="shared" si="60"/>
        <v>0</v>
      </c>
    </row>
    <row r="186" spans="1:32" s="184" customFormat="1" ht="16.5" hidden="1" x14ac:dyDescent="0.3">
      <c r="A186" s="189" t="s">
        <v>268</v>
      </c>
      <c r="B186" s="190"/>
      <c r="C186" s="191"/>
      <c r="D186" s="190"/>
      <c r="E186" s="520"/>
      <c r="F186" s="190"/>
      <c r="G186" s="443"/>
      <c r="H186" s="190"/>
      <c r="I186" s="192"/>
      <c r="J186" s="192"/>
      <c r="K186" s="192"/>
      <c r="L186" s="193"/>
      <c r="M186" s="37"/>
      <c r="N186" s="198">
        <f t="shared" si="60"/>
        <v>0</v>
      </c>
      <c r="O186" s="185"/>
      <c r="P186" s="185"/>
      <c r="V186" s="185"/>
      <c r="AE186" s="185"/>
      <c r="AF186" s="185"/>
    </row>
    <row r="187" spans="1:32" hidden="1" x14ac:dyDescent="0.2">
      <c r="E187" s="518"/>
      <c r="M187" s="239"/>
      <c r="N187" s="198">
        <f t="shared" si="60"/>
        <v>0</v>
      </c>
    </row>
    <row r="188" spans="1:32" ht="16.5" hidden="1" x14ac:dyDescent="0.3">
      <c r="A188" s="200" t="s">
        <v>192</v>
      </c>
      <c r="B188" s="200"/>
      <c r="E188" s="518"/>
      <c r="M188" s="239"/>
      <c r="N188" s="198">
        <f t="shared" si="60"/>
        <v>0</v>
      </c>
    </row>
    <row r="189" spans="1:32" x14ac:dyDescent="0.2">
      <c r="B189" s="201" t="s">
        <v>193</v>
      </c>
      <c r="E189" s="518"/>
      <c r="M189" s="239"/>
    </row>
    <row r="190" spans="1:32" x14ac:dyDescent="0.2">
      <c r="B190" s="201"/>
      <c r="E190" s="518"/>
      <c r="M190" s="239"/>
    </row>
    <row r="191" spans="1:32" x14ac:dyDescent="0.2">
      <c r="C191" s="205" t="s">
        <v>281</v>
      </c>
      <c r="E191" s="518"/>
      <c r="G191" s="447">
        <v>12</v>
      </c>
      <c r="H191" s="448" t="s">
        <v>182</v>
      </c>
      <c r="I191" s="206">
        <f>I193+I194</f>
        <v>185076830.27000001</v>
      </c>
      <c r="J191" s="206">
        <f t="shared" ref="J191:K191" si="79">J193+J194</f>
        <v>308922018.60000002</v>
      </c>
      <c r="K191" s="206">
        <f t="shared" si="79"/>
        <v>77995730.849999964</v>
      </c>
      <c r="L191" s="213"/>
      <c r="M191" s="206">
        <f>M193+M194</f>
        <v>386917749.44999999</v>
      </c>
      <c r="N191" s="501">
        <f t="shared" si="60"/>
        <v>-201840919.17999998</v>
      </c>
    </row>
    <row r="192" spans="1:32" hidden="1" x14ac:dyDescent="0.2">
      <c r="D192" s="201" t="s">
        <v>282</v>
      </c>
      <c r="E192" s="518"/>
      <c r="G192" s="450">
        <v>12.1</v>
      </c>
      <c r="M192" s="239"/>
      <c r="N192" s="198">
        <f t="shared" si="60"/>
        <v>0</v>
      </c>
    </row>
    <row r="193" spans="3:19" x14ac:dyDescent="0.2">
      <c r="D193" s="210" t="s">
        <v>29</v>
      </c>
      <c r="E193" s="518">
        <v>2010101000</v>
      </c>
      <c r="G193" s="447" t="s">
        <v>570</v>
      </c>
      <c r="I193" s="203">
        <f>VLOOKUP(E193,'FC1-Post TB 2024'!$C$10:$F$122,4,FALSE)</f>
        <v>185060554.27000001</v>
      </c>
      <c r="J193" s="203">
        <f>VLOOKUP($E193,'Restated FC1-Pre TB 2023'!$C$10:$E$271,3,FALSE)</f>
        <v>308922018.60000002</v>
      </c>
      <c r="K193" s="203">
        <f t="shared" ref="K193" si="80">M193-J193</f>
        <v>77995730.849999964</v>
      </c>
      <c r="M193" s="239">
        <f>VLOOKUP($E193,'Restated FC1-Post TB 2023'!$C$10:$E$120,3,FALSE)</f>
        <v>386917749.44999999</v>
      </c>
      <c r="N193" s="198">
        <f t="shared" si="60"/>
        <v>-201857195.17999998</v>
      </c>
    </row>
    <row r="194" spans="3:19" x14ac:dyDescent="0.2">
      <c r="D194" s="210" t="s">
        <v>552</v>
      </c>
      <c r="E194" s="518">
        <v>2010102000</v>
      </c>
      <c r="G194" s="447" t="s">
        <v>509</v>
      </c>
      <c r="I194" s="203">
        <f>VLOOKUP(E194,'FC1-Post TB 2024'!$C$10:$F$122,4,FALSE)</f>
        <v>16276</v>
      </c>
      <c r="J194" s="203">
        <v>0</v>
      </c>
      <c r="K194" s="203">
        <v>0</v>
      </c>
      <c r="M194" s="239">
        <v>0</v>
      </c>
      <c r="N194" s="198">
        <f t="shared" si="60"/>
        <v>16276</v>
      </c>
    </row>
    <row r="195" spans="3:19" x14ac:dyDescent="0.2">
      <c r="D195" s="210"/>
      <c r="E195" s="518"/>
      <c r="I195" s="207"/>
      <c r="J195" s="207"/>
      <c r="K195" s="207"/>
      <c r="M195" s="239"/>
    </row>
    <row r="196" spans="3:19" x14ac:dyDescent="0.2">
      <c r="C196" s="201" t="s">
        <v>220</v>
      </c>
      <c r="D196" s="210"/>
      <c r="E196" s="518"/>
      <c r="G196" s="447">
        <v>12.3</v>
      </c>
      <c r="I196" s="206">
        <f>SUM(I197)</f>
        <v>6260372.3499999996</v>
      </c>
      <c r="J196" s="206">
        <f t="shared" ref="J196:K196" si="81">SUM(J197)</f>
        <v>5410105.3399999999</v>
      </c>
      <c r="K196" s="206">
        <f t="shared" si="81"/>
        <v>0</v>
      </c>
      <c r="M196" s="266">
        <f>SUM(M197)</f>
        <v>5410105.3399999999</v>
      </c>
      <c r="N196" s="501">
        <f t="shared" si="60"/>
        <v>850267.00999999978</v>
      </c>
    </row>
    <row r="197" spans="3:19" x14ac:dyDescent="0.2">
      <c r="D197" s="201" t="s">
        <v>508</v>
      </c>
      <c r="E197" s="518">
        <v>2040104000</v>
      </c>
      <c r="I197" s="203">
        <f>VLOOKUP(E197,'FC1-Post TB 2024'!$C$10:$F$122,4,FALSE)</f>
        <v>6260372.3499999996</v>
      </c>
      <c r="J197" s="203">
        <f>VLOOKUP($E197,'Restated FC1-Pre TB 2023'!$C$10:$E$271,3,FALSE)</f>
        <v>5410105.3399999999</v>
      </c>
      <c r="K197" s="203">
        <f t="shared" ref="K197" si="82">M197-J197</f>
        <v>0</v>
      </c>
      <c r="M197" s="239">
        <f>VLOOKUP($E197,'Restated FC1-Post TB 2023'!$C$10:$E$120,3,FALSE)</f>
        <v>5410105.3399999999</v>
      </c>
      <c r="N197" s="198">
        <f t="shared" si="60"/>
        <v>850267.00999999978</v>
      </c>
    </row>
    <row r="198" spans="3:19" x14ac:dyDescent="0.2">
      <c r="D198" s="201"/>
      <c r="E198" s="518"/>
      <c r="M198" s="239"/>
    </row>
    <row r="199" spans="3:19" x14ac:dyDescent="0.2">
      <c r="C199" s="205" t="s">
        <v>283</v>
      </c>
      <c r="E199" s="518"/>
      <c r="G199" s="447">
        <v>13</v>
      </c>
      <c r="I199" s="206">
        <f>SUM(I200:I213)</f>
        <v>16692649.529999999</v>
      </c>
      <c r="J199" s="206">
        <f t="shared" ref="J199:K199" si="83">SUM(J200:J213)</f>
        <v>17932353.34</v>
      </c>
      <c r="K199" s="206">
        <f t="shared" si="83"/>
        <v>-34000</v>
      </c>
      <c r="M199" s="266">
        <f>SUM(M200:M213)</f>
        <v>17898353.34</v>
      </c>
      <c r="N199" s="501">
        <f t="shared" si="60"/>
        <v>-1205703.8100000005</v>
      </c>
      <c r="S199" s="198"/>
    </row>
    <row r="200" spans="3:19" x14ac:dyDescent="0.2">
      <c r="D200" s="205" t="s">
        <v>30</v>
      </c>
      <c r="E200" s="518">
        <v>2020101000</v>
      </c>
      <c r="I200" s="203">
        <f>VLOOKUP(E200,'FC1-Post TB 2024'!$C$10:$F$122,4,FALSE)</f>
        <v>1025567.56</v>
      </c>
      <c r="J200" s="203">
        <f>VLOOKUP($E200,'Restated FC1-Pre TB 2023'!$C$10:$E$271,3,FALSE)</f>
        <v>308426.34000000003</v>
      </c>
      <c r="K200" s="203">
        <f t="shared" ref="K200:K214" si="84">M200-J200</f>
        <v>-34000</v>
      </c>
      <c r="M200" s="239">
        <f>VLOOKUP($E200,'Restated FC1-Post TB 2023'!$C$10:$E$120,3,FALSE)</f>
        <v>274426.34000000003</v>
      </c>
      <c r="N200" s="198">
        <f t="shared" si="60"/>
        <v>751141.22</v>
      </c>
      <c r="S200" s="198"/>
    </row>
    <row r="201" spans="3:19" x14ac:dyDescent="0.2">
      <c r="D201" s="205" t="s">
        <v>31</v>
      </c>
      <c r="E201" s="518">
        <v>2020102000</v>
      </c>
      <c r="I201" s="203">
        <f>VLOOKUP(E201,'FC1-Post TB 2024'!$C$10:$F$122,4,FALSE)</f>
        <v>0</v>
      </c>
      <c r="J201" s="203">
        <f>VLOOKUP($E201,'Restated FC1-Pre TB 2023'!$C$10:$E$271,3,FALSE)</f>
        <v>0</v>
      </c>
      <c r="K201" s="203">
        <f t="shared" si="84"/>
        <v>0</v>
      </c>
      <c r="M201" s="239">
        <f>VLOOKUP($E201,'Restated FC1-Post TB 2023'!$C$10:$E$120,3,FALSE)</f>
        <v>0</v>
      </c>
      <c r="N201" s="198">
        <f t="shared" si="60"/>
        <v>0</v>
      </c>
    </row>
    <row r="202" spans="3:19" ht="13.5" thickBot="1" x14ac:dyDescent="0.25">
      <c r="D202" s="205" t="s">
        <v>391</v>
      </c>
      <c r="E202" s="518">
        <v>2020102001</v>
      </c>
      <c r="I202" s="203">
        <f>VLOOKUP(E202,'FC1-Post TB 2024'!$C$10:$F$122,4,FALSE)</f>
        <v>71741.22</v>
      </c>
      <c r="J202" s="203">
        <f>VLOOKUP($E202,'Restated FC1-Pre TB 2023'!$C$10:$E$271,3,FALSE)</f>
        <v>230490.2</v>
      </c>
      <c r="K202" s="203">
        <f t="shared" si="84"/>
        <v>0</v>
      </c>
      <c r="M202" s="239">
        <f>VLOOKUP($E202,'Restated FC1-Post TB 2023'!$C$10:$E$120,3,FALSE)</f>
        <v>230490.2</v>
      </c>
      <c r="N202" s="198">
        <f t="shared" si="60"/>
        <v>-158748.98000000001</v>
      </c>
    </row>
    <row r="203" spans="3:19" ht="15.75" thickBot="1" x14ac:dyDescent="0.25">
      <c r="D203" s="205" t="s">
        <v>392</v>
      </c>
      <c r="E203" s="518">
        <v>2020102002</v>
      </c>
      <c r="I203" s="203">
        <f>VLOOKUP(E203,'FC1-Post TB 2024'!$C$10:$F$122,4,FALSE)</f>
        <v>0</v>
      </c>
      <c r="J203" s="203">
        <f>VLOOKUP($E203,'Restated FC1-Pre TB 2023'!$C$10:$E$271,3,FALSE)</f>
        <v>1749.11</v>
      </c>
      <c r="K203" s="203">
        <f t="shared" si="84"/>
        <v>0</v>
      </c>
      <c r="M203" s="239">
        <f>VLOOKUP($E203,'Restated FC1-Post TB 2023'!$C$10:$E$120,3,FALSE)</f>
        <v>1749.11</v>
      </c>
      <c r="N203" s="198">
        <f t="shared" si="60"/>
        <v>-1749.11</v>
      </c>
      <c r="O203" s="222">
        <v>6756401.1500000004</v>
      </c>
      <c r="P203" s="198">
        <v>2632810.39</v>
      </c>
    </row>
    <row r="204" spans="3:19" x14ac:dyDescent="0.2">
      <c r="D204" s="205" t="s">
        <v>393</v>
      </c>
      <c r="E204" s="518">
        <v>2020102003</v>
      </c>
      <c r="I204" s="203">
        <f>VLOOKUP(E204,'FC1-Post TB 2024'!$C$10:$F$122,4,FALSE)</f>
        <v>65473.78</v>
      </c>
      <c r="J204" s="203">
        <f>VLOOKUP($E204,'Restated FC1-Pre TB 2023'!$C$10:$E$271,3,FALSE)</f>
        <v>505843.57</v>
      </c>
      <c r="K204" s="203">
        <f t="shared" si="84"/>
        <v>0</v>
      </c>
      <c r="M204" s="239">
        <f>VLOOKUP($E204,'Restated FC1-Post TB 2023'!$C$10:$E$120,3,FALSE)</f>
        <v>505843.57</v>
      </c>
      <c r="N204" s="198">
        <f t="shared" si="60"/>
        <v>-440369.79000000004</v>
      </c>
      <c r="P204" s="198">
        <v>0</v>
      </c>
    </row>
    <row r="205" spans="3:19" x14ac:dyDescent="0.2">
      <c r="D205" s="205" t="s">
        <v>394</v>
      </c>
      <c r="E205" s="518">
        <v>2020102004</v>
      </c>
      <c r="I205" s="203">
        <f>VLOOKUP(E205,'FC1-Post TB 2024'!$C$10:$F$122,4,FALSE)</f>
        <v>1705.17</v>
      </c>
      <c r="J205" s="203">
        <f>VLOOKUP($E205,'Restated FC1-Pre TB 2023'!$C$10:$E$271,3,FALSE)</f>
        <v>79976.34</v>
      </c>
      <c r="K205" s="203">
        <f t="shared" si="84"/>
        <v>0</v>
      </c>
      <c r="M205" s="239">
        <f>VLOOKUP($E205,'Restated FC1-Post TB 2023'!$C$10:$E$120,3,FALSE)</f>
        <v>79976.34</v>
      </c>
      <c r="N205" s="198">
        <f t="shared" si="60"/>
        <v>-78271.17</v>
      </c>
      <c r="P205" s="198">
        <v>1219426.72</v>
      </c>
    </row>
    <row r="206" spans="3:19" ht="12.75" customHeight="1" x14ac:dyDescent="0.2">
      <c r="D206" s="205" t="s">
        <v>32</v>
      </c>
      <c r="E206" s="518">
        <v>2020103000</v>
      </c>
      <c r="I206" s="203">
        <f>VLOOKUP(E206,'FC1-Post TB 2024'!$C$10:$F$122,4,FALSE)</f>
        <v>0</v>
      </c>
      <c r="J206" s="203">
        <f>VLOOKUP($E206,'Restated FC1-Pre TB 2023'!$C$10:$E$271,3,FALSE)</f>
        <v>0</v>
      </c>
      <c r="K206" s="203">
        <f t="shared" si="84"/>
        <v>0</v>
      </c>
      <c r="M206" s="239">
        <f>VLOOKUP($E206,'Restated FC1-Post TB 2023'!$C$10:$E$120,3,FALSE)</f>
        <v>0</v>
      </c>
      <c r="N206" s="198">
        <f t="shared" si="60"/>
        <v>0</v>
      </c>
      <c r="P206" s="198">
        <v>5783.33</v>
      </c>
    </row>
    <row r="207" spans="3:19" x14ac:dyDescent="0.2">
      <c r="D207" s="205" t="s">
        <v>395</v>
      </c>
      <c r="E207" s="518">
        <v>2020103001</v>
      </c>
      <c r="F207" s="199"/>
      <c r="I207" s="203">
        <f>VLOOKUP(E207,'FC1-Post TB 2024'!$C$10:$F$122,4,FALSE)</f>
        <v>800648.79</v>
      </c>
      <c r="J207" s="203">
        <f>VLOOKUP($E207,'Restated FC1-Pre TB 2023'!$C$10:$E$271,3,FALSE)</f>
        <v>429462.1</v>
      </c>
      <c r="K207" s="203">
        <f t="shared" si="84"/>
        <v>0</v>
      </c>
      <c r="M207" s="239">
        <f>VLOOKUP($E207,'Restated FC1-Post TB 2023'!$C$10:$E$120,3,FALSE)</f>
        <v>429462.1</v>
      </c>
      <c r="N207" s="198">
        <f t="shared" si="60"/>
        <v>371186.69000000006</v>
      </c>
      <c r="P207" s="198">
        <v>491437.8</v>
      </c>
    </row>
    <row r="208" spans="3:19" x14ac:dyDescent="0.2">
      <c r="D208" s="205" t="s">
        <v>396</v>
      </c>
      <c r="E208" s="518">
        <v>2020103002</v>
      </c>
      <c r="F208" s="199"/>
      <c r="I208" s="203">
        <f>VLOOKUP(E208,'FC1-Post TB 2024'!$C$10:$F$122,4,FALSE)</f>
        <v>31454.42</v>
      </c>
      <c r="J208" s="203">
        <f>VLOOKUP($E208,'Restated FC1-Pre TB 2023'!$C$10:$E$271,3,FALSE)</f>
        <v>801868.97</v>
      </c>
      <c r="K208" s="203">
        <f t="shared" si="84"/>
        <v>0</v>
      </c>
      <c r="M208" s="239">
        <f>VLOOKUP($E208,'Restated FC1-Post TB 2023'!$C$10:$E$120,3,FALSE)</f>
        <v>801868.97</v>
      </c>
      <c r="N208" s="198">
        <f t="shared" si="60"/>
        <v>-770414.54999999993</v>
      </c>
      <c r="P208" s="198">
        <v>18397.21</v>
      </c>
    </row>
    <row r="209" spans="2:31" x14ac:dyDescent="0.2">
      <c r="D209" s="205" t="s">
        <v>397</v>
      </c>
      <c r="E209" s="518">
        <v>2020103003</v>
      </c>
      <c r="F209" s="199"/>
      <c r="I209" s="203">
        <f>VLOOKUP(E209,'FC1-Post TB 2024'!$C$10:$F$122,4,FALSE)</f>
        <v>36203.54</v>
      </c>
      <c r="J209" s="203">
        <f>VLOOKUP($E209,'Restated FC1-Pre TB 2023'!$C$10:$E$271,3,FALSE)</f>
        <v>30210.799999999999</v>
      </c>
      <c r="K209" s="203">
        <f t="shared" si="84"/>
        <v>0</v>
      </c>
      <c r="M209" s="239">
        <f>VLOOKUP($E209,'Restated FC1-Post TB 2023'!$C$10:$E$120,3,FALSE)</f>
        <v>30210.799999999999</v>
      </c>
      <c r="N209" s="198">
        <f t="shared" ref="N209:N237" si="85">I209-M209</f>
        <v>5992.7400000000016</v>
      </c>
      <c r="P209" s="198">
        <v>459911.22</v>
      </c>
    </row>
    <row r="210" spans="2:31" x14ac:dyDescent="0.2">
      <c r="D210" s="205" t="s">
        <v>33</v>
      </c>
      <c r="E210" s="518">
        <v>2020104000</v>
      </c>
      <c r="I210" s="203">
        <f>VLOOKUP(E210,'FC1-Post TB 2024'!$C$10:$F$122,4,FALSE)</f>
        <v>915693.23</v>
      </c>
      <c r="J210" s="203">
        <f>VLOOKUP($E210,'Restated FC1-Pre TB 2023'!$C$10:$E$271,3,FALSE)</f>
        <v>2737841.9</v>
      </c>
      <c r="K210" s="203">
        <f t="shared" si="84"/>
        <v>0</v>
      </c>
      <c r="M210" s="239">
        <f>VLOOKUP($E210,'Restated FC1-Post TB 2023'!$C$10:$E$120,3,FALSE)</f>
        <v>2737841.9</v>
      </c>
      <c r="N210" s="198">
        <f t="shared" si="85"/>
        <v>-1822148.67</v>
      </c>
      <c r="P210" s="198">
        <v>749749.84</v>
      </c>
    </row>
    <row r="211" spans="2:31" x14ac:dyDescent="0.2">
      <c r="D211" s="205" t="s">
        <v>492</v>
      </c>
      <c r="E211" s="518">
        <v>2020105000</v>
      </c>
      <c r="I211" s="203">
        <f>VLOOKUP(E211,'FC1-Post TB 2024'!$C$10:$F$122,4,FALSE)</f>
        <v>210000</v>
      </c>
      <c r="J211" s="203">
        <f>VLOOKUP($E211,'Restated FC1-Pre TB 2023'!$C$10:$E$271,3,FALSE)</f>
        <v>210000</v>
      </c>
      <c r="K211" s="203">
        <f t="shared" si="84"/>
        <v>0</v>
      </c>
      <c r="M211" s="239">
        <f>VLOOKUP($E211,'Restated FC1-Post TB 2023'!$C$10:$E$120,3,FALSE)</f>
        <v>210000</v>
      </c>
      <c r="N211" s="198">
        <f t="shared" si="85"/>
        <v>0</v>
      </c>
      <c r="O211" s="224"/>
      <c r="P211" s="198">
        <v>20412.79</v>
      </c>
    </row>
    <row r="212" spans="2:31" x14ac:dyDescent="0.2">
      <c r="D212" s="205" t="s">
        <v>493</v>
      </c>
      <c r="E212" s="518">
        <v>2020106000</v>
      </c>
      <c r="I212" s="203">
        <f>VLOOKUP(E212,'FC1-Post TB 2024'!$C$10:$F$122,4,FALSE)</f>
        <v>2435287.89</v>
      </c>
      <c r="J212" s="203">
        <f>VLOOKUP($E212,'Restated FC1-Pre TB 2023'!$C$10:$E$271,3,FALSE)</f>
        <v>2550882.08</v>
      </c>
      <c r="K212" s="203">
        <f t="shared" si="84"/>
        <v>0</v>
      </c>
      <c r="M212" s="239">
        <f>VLOOKUP($E212,'Restated FC1-Post TB 2023'!$C$10:$E$120,3,FALSE)</f>
        <v>2550882.08</v>
      </c>
      <c r="N212" s="198">
        <f t="shared" si="85"/>
        <v>-115594.18999999994</v>
      </c>
      <c r="O212" s="224"/>
      <c r="P212" s="198">
        <v>1265658.27</v>
      </c>
    </row>
    <row r="213" spans="2:31" ht="15" x14ac:dyDescent="0.2">
      <c r="D213" s="205" t="s">
        <v>494</v>
      </c>
      <c r="E213" s="518">
        <v>2020107000</v>
      </c>
      <c r="I213" s="203">
        <f>VLOOKUP(E213,'FC1-Post TB 2024'!$C$10:$F$122,4,FALSE)</f>
        <v>11098873.93</v>
      </c>
      <c r="J213" s="203">
        <f>VLOOKUP($E213,'Restated FC1-Pre TB 2023'!$C$10:$E$271,3,FALSE)</f>
        <v>10045601.93</v>
      </c>
      <c r="K213" s="203">
        <f t="shared" si="84"/>
        <v>0</v>
      </c>
      <c r="M213" s="239">
        <f>VLOOKUP($E213,'Restated FC1-Post TB 2023'!$C$10:$E$120,3,FALSE)</f>
        <v>10045601.93</v>
      </c>
      <c r="N213" s="198">
        <f t="shared" si="85"/>
        <v>1053272</v>
      </c>
      <c r="O213" s="223"/>
      <c r="P213" s="198">
        <v>0</v>
      </c>
      <c r="S213" s="198"/>
    </row>
    <row r="214" spans="2:31" ht="12.75" hidden="1" customHeight="1" x14ac:dyDescent="0.2">
      <c r="D214" s="205"/>
      <c r="E214" s="518"/>
      <c r="I214" s="207"/>
      <c r="J214" s="207"/>
      <c r="K214" s="203">
        <f t="shared" si="84"/>
        <v>0</v>
      </c>
      <c r="M214" s="239"/>
      <c r="N214" s="198">
        <f t="shared" si="85"/>
        <v>0</v>
      </c>
      <c r="O214" s="224"/>
      <c r="P214" s="198">
        <v>2270545.9300000002</v>
      </c>
      <c r="S214" s="198"/>
    </row>
    <row r="215" spans="2:31" ht="14.25" hidden="1" customHeight="1" x14ac:dyDescent="0.2">
      <c r="C215" s="205" t="s">
        <v>284</v>
      </c>
      <c r="D215" s="205"/>
      <c r="E215" s="518"/>
      <c r="I215" s="206">
        <f>SUM(I216:I219)</f>
        <v>0</v>
      </c>
      <c r="J215" s="206">
        <f t="shared" ref="J215:K215" si="86">SUM(J216:J219)</f>
        <v>0</v>
      </c>
      <c r="K215" s="206">
        <f t="shared" si="86"/>
        <v>0</v>
      </c>
      <c r="M215" s="266">
        <f>SUM(M216:M219)</f>
        <v>0</v>
      </c>
      <c r="N215" s="500">
        <f t="shared" si="85"/>
        <v>0</v>
      </c>
      <c r="O215" s="170"/>
    </row>
    <row r="216" spans="2:31" ht="15" hidden="1" customHeight="1" x14ac:dyDescent="0.2">
      <c r="D216" s="205"/>
      <c r="E216" s="518"/>
      <c r="I216" s="207"/>
      <c r="J216" s="207"/>
      <c r="K216" s="207"/>
      <c r="M216" s="239"/>
      <c r="N216" s="198">
        <f t="shared" si="85"/>
        <v>0</v>
      </c>
      <c r="O216" s="170"/>
    </row>
    <row r="217" spans="2:31" ht="14.25" hidden="1" x14ac:dyDescent="0.2">
      <c r="D217" s="205" t="s">
        <v>36</v>
      </c>
      <c r="E217" s="518">
        <v>2030103000</v>
      </c>
      <c r="I217" s="203">
        <f>VLOOKUP(E217,'FC1-Post TB 2024'!$C$10:$F$122,4,FALSE)</f>
        <v>0</v>
      </c>
      <c r="J217" s="203">
        <f>VLOOKUP($E217,'Restated FC1-Pre TB 2023'!$C$10:$E$271,3,FALSE)</f>
        <v>0</v>
      </c>
      <c r="M217" s="239">
        <f>VLOOKUP($E217,'Restated FC1-Post TB 2023'!$C$10:$E$120,3,FALSE)</f>
        <v>0</v>
      </c>
      <c r="N217" s="198">
        <f t="shared" si="85"/>
        <v>0</v>
      </c>
      <c r="O217" s="170"/>
    </row>
    <row r="218" spans="2:31" ht="14.25" hidden="1" x14ac:dyDescent="0.2">
      <c r="D218" s="205" t="s">
        <v>35</v>
      </c>
      <c r="E218" s="518">
        <v>2030101000</v>
      </c>
      <c r="I218" s="203">
        <f>VLOOKUP(E218,'FC1-Post TB 2024'!$C$10:$F$122,4,FALSE)</f>
        <v>0</v>
      </c>
      <c r="J218" s="203">
        <f>VLOOKUP($E218,'Restated FC1-Pre TB 2023'!$C$10:$E$271,3,FALSE)</f>
        <v>0</v>
      </c>
      <c r="M218" s="239">
        <f>VLOOKUP($E218,'Restated FC1-Post TB 2023'!$C$10:$E$120,3,FALSE)</f>
        <v>0</v>
      </c>
      <c r="N218" s="198">
        <f t="shared" si="85"/>
        <v>0</v>
      </c>
      <c r="O218" s="170"/>
    </row>
    <row r="219" spans="2:31" ht="14.25" hidden="1" x14ac:dyDescent="0.2">
      <c r="D219" s="205" t="s">
        <v>353</v>
      </c>
      <c r="E219" s="518">
        <v>2030105000</v>
      </c>
      <c r="I219" s="203">
        <f>VLOOKUP(E219,'FC1-Post TB 2024'!$C$10:$F$122,4,FALSE)</f>
        <v>0</v>
      </c>
      <c r="J219" s="203">
        <f>VLOOKUP($E219,'Restated FC1-Pre TB 2023'!$C$10:$E$271,3,FALSE)</f>
        <v>0</v>
      </c>
      <c r="M219" s="239">
        <f>VLOOKUP($E219,'Restated FC1-Post TB 2023'!$C$10:$E$120,3,FALSE)</f>
        <v>0</v>
      </c>
      <c r="N219" s="198">
        <f t="shared" si="85"/>
        <v>0</v>
      </c>
      <c r="O219" s="170"/>
    </row>
    <row r="220" spans="2:31" ht="14.25" hidden="1" x14ac:dyDescent="0.2">
      <c r="D220" s="205"/>
      <c r="E220" s="518"/>
      <c r="I220" s="207"/>
      <c r="K220" s="207"/>
      <c r="M220" s="239"/>
      <c r="N220" s="198">
        <f t="shared" si="85"/>
        <v>0</v>
      </c>
      <c r="O220" s="170"/>
    </row>
    <row r="221" spans="2:31" ht="14.25" hidden="1" x14ac:dyDescent="0.2">
      <c r="C221" s="205" t="s">
        <v>220</v>
      </c>
      <c r="D221" s="205"/>
      <c r="E221" s="518"/>
      <c r="I221" s="206">
        <f>I222</f>
        <v>0</v>
      </c>
      <c r="J221" s="209"/>
      <c r="K221" s="206"/>
      <c r="L221" s="206"/>
      <c r="M221" s="266">
        <f t="shared" ref="M221" si="87">M222</f>
        <v>0</v>
      </c>
      <c r="N221" s="500">
        <f t="shared" si="85"/>
        <v>0</v>
      </c>
      <c r="O221" s="170"/>
    </row>
    <row r="222" spans="2:31" ht="14.25" hidden="1" x14ac:dyDescent="0.2">
      <c r="D222" s="205" t="s">
        <v>219</v>
      </c>
      <c r="E222" s="518">
        <v>2040102000</v>
      </c>
      <c r="I222" s="203">
        <f>VLOOKUP(E222,'FC1-Post TB 2024'!$C$10:$F$122,4,FALSE)</f>
        <v>0</v>
      </c>
      <c r="M222" s="239">
        <f>VLOOKUP($E222,'Restated FC1-Post TB 2023'!$C$10:$E$120,3,FALSE)</f>
        <v>0</v>
      </c>
      <c r="N222" s="198">
        <f t="shared" si="85"/>
        <v>0</v>
      </c>
      <c r="O222" s="170"/>
    </row>
    <row r="223" spans="2:31" ht="14.25" hidden="1" x14ac:dyDescent="0.2">
      <c r="D223" s="205"/>
      <c r="E223" s="518"/>
      <c r="I223" s="207"/>
      <c r="J223" s="207"/>
      <c r="K223" s="207"/>
      <c r="M223" s="239"/>
      <c r="N223" s="198">
        <f t="shared" si="85"/>
        <v>0</v>
      </c>
      <c r="O223" s="170"/>
    </row>
    <row r="224" spans="2:31" ht="14.25" x14ac:dyDescent="0.2">
      <c r="B224" s="205" t="s">
        <v>37</v>
      </c>
      <c r="D224" s="205"/>
      <c r="E224" s="518"/>
      <c r="G224" s="447">
        <v>14</v>
      </c>
      <c r="I224" s="206">
        <f>SUM(I225:I226)</f>
        <v>9478182.8800000008</v>
      </c>
      <c r="J224" s="206">
        <f t="shared" ref="J224:K224" si="88">SUM(J225:J226)</f>
        <v>7335320.1699999999</v>
      </c>
      <c r="K224" s="206">
        <f t="shared" si="88"/>
        <v>0</v>
      </c>
      <c r="M224" s="266">
        <f>M225+M226</f>
        <v>7335320.1699999999</v>
      </c>
      <c r="N224" s="501">
        <f t="shared" si="85"/>
        <v>2142862.7100000009</v>
      </c>
      <c r="O224" s="170"/>
      <c r="AE224" s="198">
        <f>M224-[14]FC1SFP!$K$214</f>
        <v>467514.88999999966</v>
      </c>
    </row>
    <row r="225" spans="1:31" ht="14.25" x14ac:dyDescent="0.2">
      <c r="D225" s="205" t="s">
        <v>37</v>
      </c>
      <c r="E225" s="518">
        <v>2999999000</v>
      </c>
      <c r="I225" s="203">
        <f>VLOOKUP(E225,'FC1-Post TB 2024'!$C$10:$F$122,4,FALSE)</f>
        <v>9328622.8800000008</v>
      </c>
      <c r="J225" s="203">
        <f>VLOOKUP($E225,'Restated FC1-Pre TB 2023'!$C$10:$E$271,3,FALSE)</f>
        <v>7335320.1699999999</v>
      </c>
      <c r="K225" s="203">
        <f t="shared" ref="K225" si="89">M225-J225</f>
        <v>0</v>
      </c>
      <c r="L225" s="208"/>
      <c r="M225" s="239">
        <f>VLOOKUP($E225,'Restated FC1-Post TB 2023'!$C$10:$E$120,3,FALSE)</f>
        <v>7335320.1699999999</v>
      </c>
      <c r="N225" s="198">
        <f t="shared" si="85"/>
        <v>1993302.7100000009</v>
      </c>
      <c r="O225" s="170"/>
    </row>
    <row r="226" spans="1:31" x14ac:dyDescent="0.2">
      <c r="D226" s="205" t="s">
        <v>437</v>
      </c>
      <c r="E226" s="518">
        <v>2010107000</v>
      </c>
      <c r="I226" s="203">
        <f>VLOOKUP(E226,'FC1-Post TB 2024'!$C$10:$F$122,4,FALSE)</f>
        <v>149560</v>
      </c>
      <c r="L226" s="208"/>
      <c r="M226" s="239">
        <f>VLOOKUP($E226,'Restated FC1-Post TB 2023'!$C$10:$E$120,3,FALSE)</f>
        <v>0</v>
      </c>
      <c r="N226" s="198">
        <f t="shared" si="85"/>
        <v>149560</v>
      </c>
      <c r="O226" s="224"/>
    </row>
    <row r="227" spans="1:31" x14ac:dyDescent="0.2">
      <c r="D227" s="205"/>
      <c r="E227" s="449"/>
      <c r="I227" s="207"/>
      <c r="J227" s="207"/>
      <c r="K227" s="207"/>
      <c r="L227" s="208"/>
      <c r="M227" s="239"/>
      <c r="N227" s="198">
        <f t="shared" si="85"/>
        <v>0</v>
      </c>
      <c r="O227" s="224"/>
    </row>
    <row r="228" spans="1:31" x14ac:dyDescent="0.2">
      <c r="B228" s="205" t="s">
        <v>285</v>
      </c>
      <c r="D228" s="205"/>
      <c r="E228" s="449"/>
      <c r="I228" s="206">
        <f>SUM(I224,I215,I199,I191,I196)</f>
        <v>217508035.03</v>
      </c>
      <c r="J228" s="206">
        <f t="shared" ref="J228:K228" si="90">SUM(J224,J215,J199,J191,J196)</f>
        <v>339599797.44999999</v>
      </c>
      <c r="K228" s="206">
        <f t="shared" si="90"/>
        <v>77961730.849999964</v>
      </c>
      <c r="L228" s="208"/>
      <c r="M228" s="266">
        <f>SUM(M224,M215,M199,M191)+M196</f>
        <v>417561528.29999995</v>
      </c>
      <c r="N228" s="501">
        <f t="shared" si="85"/>
        <v>-200053493.26999995</v>
      </c>
    </row>
    <row r="229" spans="1:31" x14ac:dyDescent="0.2">
      <c r="D229" s="205"/>
      <c r="E229" s="454"/>
      <c r="I229" s="207"/>
      <c r="J229" s="207"/>
      <c r="K229" s="207"/>
      <c r="M229" s="239"/>
      <c r="N229" s="198">
        <f t="shared" si="85"/>
        <v>0</v>
      </c>
    </row>
    <row r="230" spans="1:31" ht="13.5" thickBot="1" x14ac:dyDescent="0.25">
      <c r="B230" s="214" t="s">
        <v>286</v>
      </c>
      <c r="E230" s="449"/>
      <c r="H230" s="448" t="s">
        <v>182</v>
      </c>
      <c r="I230" s="225">
        <f>I184-I228</f>
        <v>730233057.52999997</v>
      </c>
      <c r="J230" s="225">
        <f t="shared" ref="J230:K230" si="91">J184-J228</f>
        <v>1316230465.0899999</v>
      </c>
      <c r="K230" s="225">
        <f t="shared" si="91"/>
        <v>-1201386694.0891664</v>
      </c>
      <c r="M230" s="272">
        <f>M184-M228</f>
        <v>114843771.00083351</v>
      </c>
      <c r="N230" s="272">
        <f>I230-M230</f>
        <v>615389286.52916646</v>
      </c>
      <c r="AE230" s="198">
        <f>M230-[14]FC1SFP!$K$220</f>
        <v>-1092338822.3691664</v>
      </c>
    </row>
    <row r="231" spans="1:31" ht="13.5" hidden="1" thickTop="1" x14ac:dyDescent="0.2">
      <c r="B231" s="226"/>
      <c r="E231" s="455"/>
      <c r="M231" s="239"/>
      <c r="N231" s="198">
        <f t="shared" si="85"/>
        <v>0</v>
      </c>
    </row>
    <row r="232" spans="1:31" hidden="1" x14ac:dyDescent="0.2">
      <c r="E232" s="449"/>
      <c r="M232" s="239"/>
      <c r="N232" s="198">
        <f t="shared" si="85"/>
        <v>0</v>
      </c>
    </row>
    <row r="233" spans="1:31" ht="16.5" hidden="1" x14ac:dyDescent="0.3">
      <c r="A233" s="200" t="s">
        <v>247</v>
      </c>
      <c r="B233" s="200"/>
      <c r="E233" s="449"/>
      <c r="M233" s="239"/>
      <c r="N233" s="198">
        <f t="shared" si="85"/>
        <v>0</v>
      </c>
    </row>
    <row r="234" spans="1:31" ht="17.25" thickTop="1" x14ac:dyDescent="0.3">
      <c r="A234" s="200"/>
      <c r="B234" s="200" t="s">
        <v>287</v>
      </c>
      <c r="E234" s="449"/>
      <c r="M234" s="239"/>
    </row>
    <row r="235" spans="1:31" ht="16.5" x14ac:dyDescent="0.3">
      <c r="A235" s="200"/>
      <c r="B235" s="200"/>
      <c r="C235" s="201" t="s">
        <v>288</v>
      </c>
      <c r="E235" s="449"/>
      <c r="M235" s="239"/>
    </row>
    <row r="236" spans="1:31" x14ac:dyDescent="0.2">
      <c r="C236" s="205"/>
      <c r="D236" s="205" t="s">
        <v>243</v>
      </c>
      <c r="E236" s="449"/>
      <c r="I236" s="209">
        <f>'FC1-Post TB 2024'!E122</f>
        <v>730233057.53000236</v>
      </c>
      <c r="J236" s="209">
        <v>1316230465.0881391</v>
      </c>
      <c r="K236" s="209">
        <f t="shared" ref="K236" si="92">M236-J236</f>
        <v>-1201386694.0873079</v>
      </c>
      <c r="L236" s="209">
        <f>'FC1-Post TB 2024'!H122</f>
        <v>0</v>
      </c>
      <c r="M236" s="267">
        <f>'Restated FC1-Post TB 2023'!E120</f>
        <v>114843771.00083104</v>
      </c>
      <c r="N236" s="500">
        <f t="shared" si="85"/>
        <v>615389286.52917135</v>
      </c>
    </row>
    <row r="237" spans="1:31" x14ac:dyDescent="0.2">
      <c r="E237" s="449"/>
      <c r="M237" s="239"/>
      <c r="N237" s="198">
        <f t="shared" si="85"/>
        <v>0</v>
      </c>
    </row>
    <row r="238" spans="1:31" ht="13.5" thickBot="1" x14ac:dyDescent="0.25">
      <c r="D238" s="220" t="s">
        <v>269</v>
      </c>
      <c r="E238" s="454"/>
      <c r="H238" s="448" t="s">
        <v>182</v>
      </c>
      <c r="I238" s="225">
        <f>I236</f>
        <v>730233057.53000236</v>
      </c>
      <c r="J238" s="225">
        <f t="shared" ref="J238:K238" si="93">J236</f>
        <v>1316230465.0881391</v>
      </c>
      <c r="K238" s="225">
        <f t="shared" si="93"/>
        <v>-1201386694.0873079</v>
      </c>
      <c r="L238" s="212"/>
      <c r="M238" s="272">
        <f>M236</f>
        <v>114843771.00083104</v>
      </c>
      <c r="N238" s="272">
        <f>I238-M238</f>
        <v>615389286.52917135</v>
      </c>
      <c r="AE238" s="198">
        <f>M238-[14]FC1SFP!$K$228</f>
        <v>-1092338822.3691688</v>
      </c>
    </row>
    <row r="239" spans="1:31" ht="13.5" thickTop="1" x14ac:dyDescent="0.2">
      <c r="E239" s="449"/>
      <c r="I239" s="203">
        <f>I238-I230</f>
        <v>2.384185791015625E-6</v>
      </c>
      <c r="J239" s="203">
        <f>J238-J230</f>
        <v>-1.8608570098876953E-3</v>
      </c>
      <c r="K239" s="203">
        <f>K238-FC1SGE!M22</f>
        <v>2.9857158660888672E-3</v>
      </c>
      <c r="L239" s="203"/>
      <c r="M239" s="239">
        <f>M238-FC1SGE!N22</f>
        <v>3.9989948272705078E-3</v>
      </c>
    </row>
    <row r="240" spans="1:31" x14ac:dyDescent="0.2">
      <c r="E240" s="449"/>
    </row>
    <row r="241" spans="1:32" ht="16.5" x14ac:dyDescent="0.3">
      <c r="H241" s="456"/>
      <c r="I241" s="221">
        <f>I238-FC1SGE!J22</f>
        <v>0</v>
      </c>
      <c r="J241" s="221">
        <f>J238-FC1SGE!L22</f>
        <v>1.0132789611816406E-3</v>
      </c>
      <c r="K241" s="221">
        <f>K230-K238</f>
        <v>-1.8584728240966797E-3</v>
      </c>
      <c r="M241" s="265">
        <f>M230-M238</f>
        <v>2.4735927581787109E-6</v>
      </c>
    </row>
    <row r="242" spans="1:32" ht="16.5" x14ac:dyDescent="0.3">
      <c r="H242" s="456"/>
      <c r="I242" s="221"/>
      <c r="J242" s="221"/>
      <c r="K242" s="221"/>
    </row>
    <row r="243" spans="1:32" ht="16.5" x14ac:dyDescent="0.3">
      <c r="B243" s="227"/>
      <c r="C243" s="228"/>
      <c r="D243" s="229"/>
      <c r="E243" s="457" t="s">
        <v>95</v>
      </c>
      <c r="F243" s="230"/>
      <c r="G243" s="458"/>
      <c r="H243" s="456"/>
      <c r="I243" s="221"/>
      <c r="J243" s="221"/>
      <c r="K243" s="221"/>
    </row>
    <row r="244" spans="1:32" ht="16.5" x14ac:dyDescent="0.3">
      <c r="B244" s="227"/>
      <c r="C244" s="228"/>
      <c r="D244" s="229"/>
      <c r="E244" s="457"/>
      <c r="F244" s="230"/>
      <c r="G244" s="458"/>
      <c r="H244" s="456"/>
      <c r="I244" s="221"/>
      <c r="J244" s="221"/>
      <c r="K244" s="221"/>
    </row>
    <row r="245" spans="1:32" ht="16.5" x14ac:dyDescent="0.3">
      <c r="B245" s="227"/>
      <c r="C245" s="228"/>
      <c r="D245" s="229"/>
      <c r="E245" s="457"/>
      <c r="F245" s="230"/>
      <c r="G245" s="458"/>
      <c r="H245" s="456"/>
      <c r="I245" s="221"/>
      <c r="J245" s="221"/>
      <c r="K245" s="221"/>
    </row>
    <row r="246" spans="1:32" s="233" customFormat="1" ht="16.5" x14ac:dyDescent="0.3">
      <c r="A246" s="214"/>
      <c r="B246" s="200"/>
      <c r="C246" s="189"/>
      <c r="D246" s="231"/>
      <c r="E246" s="459"/>
      <c r="F246" s="155"/>
      <c r="G246" s="460" t="s">
        <v>389</v>
      </c>
      <c r="H246" s="461"/>
      <c r="I246" s="232"/>
      <c r="J246" s="232"/>
      <c r="K246" s="232"/>
      <c r="L246" s="212"/>
      <c r="M246" s="273"/>
      <c r="N246" s="217"/>
      <c r="O246" s="217"/>
      <c r="P246" s="217"/>
      <c r="V246" s="217"/>
      <c r="AE246" s="217"/>
      <c r="AF246" s="217"/>
    </row>
    <row r="247" spans="1:32" ht="16.5" x14ac:dyDescent="0.3">
      <c r="B247" s="227"/>
      <c r="C247" s="228"/>
      <c r="D247" s="229"/>
      <c r="E247" s="462"/>
      <c r="F247" s="230"/>
      <c r="G247" s="460" t="s">
        <v>363</v>
      </c>
      <c r="H247" s="456"/>
      <c r="I247" s="221"/>
      <c r="J247" s="221"/>
      <c r="K247" s="221"/>
    </row>
    <row r="248" spans="1:32" ht="16.5" x14ac:dyDescent="0.3">
      <c r="E248" s="462"/>
      <c r="F248" s="230"/>
      <c r="G248" s="463"/>
    </row>
  </sheetData>
  <autoFilter ref="A6:WVP238"/>
  <mergeCells count="6">
    <mergeCell ref="P105:P106"/>
    <mergeCell ref="A1:M1"/>
    <mergeCell ref="A2:M2"/>
    <mergeCell ref="A3:M3"/>
    <mergeCell ref="A4:M4"/>
    <mergeCell ref="A5:M5"/>
  </mergeCells>
  <printOptions horizontalCentered="1"/>
  <pageMargins left="0.45" right="0.45" top="0.75" bottom="0.75" header="0.3" footer="0.3"/>
  <pageSetup paperSize="9" scale="5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65"/>
  <sheetViews>
    <sheetView zoomScaleNormal="100" workbookViewId="0">
      <pane ySplit="9" topLeftCell="A36" activePane="bottomLeft" state="frozen"/>
      <selection activeCell="N15" sqref="N15"/>
      <selection pane="bottomLeft" activeCell="N36" sqref="N36"/>
    </sheetView>
  </sheetViews>
  <sheetFormatPr defaultRowHeight="16.5" x14ac:dyDescent="0.3"/>
  <cols>
    <col min="1" max="1" width="5.140625" style="38" customWidth="1"/>
    <col min="2" max="3" width="3.42578125" style="38" customWidth="1"/>
    <col min="4" max="4" width="31.5703125" style="38" customWidth="1"/>
    <col min="5" max="5" width="2.42578125" style="38" customWidth="1"/>
    <col min="6" max="6" width="6.5703125" style="38" customWidth="1"/>
    <col min="7" max="7" width="8.7109375" style="38" customWidth="1"/>
    <col min="8" max="8" width="3" style="38" customWidth="1"/>
    <col min="9" max="9" width="18.5703125" style="38" customWidth="1"/>
    <col min="10" max="10" width="2.5703125" style="38" customWidth="1"/>
    <col min="11" max="11" width="18.7109375" style="42" customWidth="1"/>
    <col min="12" max="12" width="9.140625" style="38" customWidth="1"/>
    <col min="13" max="13" width="13.5703125" style="38" bestFit="1" customWidth="1"/>
    <col min="14" max="14" width="16.7109375" style="38" bestFit="1" customWidth="1"/>
    <col min="15" max="256" width="9.140625" style="38"/>
    <col min="257" max="257" width="5.140625" style="38" customWidth="1"/>
    <col min="258" max="258" width="3.42578125" style="38" customWidth="1"/>
    <col min="259" max="259" width="31.5703125" style="38" customWidth="1"/>
    <col min="260" max="260" width="2.42578125" style="38" customWidth="1"/>
    <col min="261" max="261" width="15.85546875" style="38" customWidth="1"/>
    <col min="262" max="262" width="3" style="38" customWidth="1"/>
    <col min="263" max="263" width="14.42578125" style="38" customWidth="1"/>
    <col min="264" max="265" width="2.5703125" style="38" customWidth="1"/>
    <col min="266" max="266" width="16" style="38" bestFit="1" customWidth="1"/>
    <col min="267" max="267" width="15" style="38" bestFit="1" customWidth="1"/>
    <col min="268" max="512" width="9.140625" style="38"/>
    <col min="513" max="513" width="5.140625" style="38" customWidth="1"/>
    <col min="514" max="514" width="3.42578125" style="38" customWidth="1"/>
    <col min="515" max="515" width="31.5703125" style="38" customWidth="1"/>
    <col min="516" max="516" width="2.42578125" style="38" customWidth="1"/>
    <col min="517" max="517" width="15.85546875" style="38" customWidth="1"/>
    <col min="518" max="518" width="3" style="38" customWidth="1"/>
    <col min="519" max="519" width="14.42578125" style="38" customWidth="1"/>
    <col min="520" max="521" width="2.5703125" style="38" customWidth="1"/>
    <col min="522" max="522" width="16" style="38" bestFit="1" customWidth="1"/>
    <col min="523" max="523" width="15" style="38" bestFit="1" customWidth="1"/>
    <col min="524" max="768" width="9.140625" style="38"/>
    <col min="769" max="769" width="5.140625" style="38" customWidth="1"/>
    <col min="770" max="770" width="3.42578125" style="38" customWidth="1"/>
    <col min="771" max="771" width="31.5703125" style="38" customWidth="1"/>
    <col min="772" max="772" width="2.42578125" style="38" customWidth="1"/>
    <col min="773" max="773" width="15.85546875" style="38" customWidth="1"/>
    <col min="774" max="774" width="3" style="38" customWidth="1"/>
    <col min="775" max="775" width="14.42578125" style="38" customWidth="1"/>
    <col min="776" max="777" width="2.5703125" style="38" customWidth="1"/>
    <col min="778" max="778" width="16" style="38" bestFit="1" customWidth="1"/>
    <col min="779" max="779" width="15" style="38" bestFit="1" customWidth="1"/>
    <col min="780" max="1024" width="9.140625" style="38"/>
    <col min="1025" max="1025" width="5.140625" style="38" customWidth="1"/>
    <col min="1026" max="1026" width="3.42578125" style="38" customWidth="1"/>
    <col min="1027" max="1027" width="31.5703125" style="38" customWidth="1"/>
    <col min="1028" max="1028" width="2.42578125" style="38" customWidth="1"/>
    <col min="1029" max="1029" width="15.85546875" style="38" customWidth="1"/>
    <col min="1030" max="1030" width="3" style="38" customWidth="1"/>
    <col min="1031" max="1031" width="14.42578125" style="38" customWidth="1"/>
    <col min="1032" max="1033" width="2.5703125" style="38" customWidth="1"/>
    <col min="1034" max="1034" width="16" style="38" bestFit="1" customWidth="1"/>
    <col min="1035" max="1035" width="15" style="38" bestFit="1" customWidth="1"/>
    <col min="1036" max="1280" width="9.140625" style="38"/>
    <col min="1281" max="1281" width="5.140625" style="38" customWidth="1"/>
    <col min="1282" max="1282" width="3.42578125" style="38" customWidth="1"/>
    <col min="1283" max="1283" width="31.5703125" style="38" customWidth="1"/>
    <col min="1284" max="1284" width="2.42578125" style="38" customWidth="1"/>
    <col min="1285" max="1285" width="15.85546875" style="38" customWidth="1"/>
    <col min="1286" max="1286" width="3" style="38" customWidth="1"/>
    <col min="1287" max="1287" width="14.42578125" style="38" customWidth="1"/>
    <col min="1288" max="1289" width="2.5703125" style="38" customWidth="1"/>
    <col min="1290" max="1290" width="16" style="38" bestFit="1" customWidth="1"/>
    <col min="1291" max="1291" width="15" style="38" bestFit="1" customWidth="1"/>
    <col min="1292" max="1536" width="9.140625" style="38"/>
    <col min="1537" max="1537" width="5.140625" style="38" customWidth="1"/>
    <col min="1538" max="1538" width="3.42578125" style="38" customWidth="1"/>
    <col min="1539" max="1539" width="31.5703125" style="38" customWidth="1"/>
    <col min="1540" max="1540" width="2.42578125" style="38" customWidth="1"/>
    <col min="1541" max="1541" width="15.85546875" style="38" customWidth="1"/>
    <col min="1542" max="1542" width="3" style="38" customWidth="1"/>
    <col min="1543" max="1543" width="14.42578125" style="38" customWidth="1"/>
    <col min="1544" max="1545" width="2.5703125" style="38" customWidth="1"/>
    <col min="1546" max="1546" width="16" style="38" bestFit="1" customWidth="1"/>
    <col min="1547" max="1547" width="15" style="38" bestFit="1" customWidth="1"/>
    <col min="1548" max="1792" width="9.140625" style="38"/>
    <col min="1793" max="1793" width="5.140625" style="38" customWidth="1"/>
    <col min="1794" max="1794" width="3.42578125" style="38" customWidth="1"/>
    <col min="1795" max="1795" width="31.5703125" style="38" customWidth="1"/>
    <col min="1796" max="1796" width="2.42578125" style="38" customWidth="1"/>
    <col min="1797" max="1797" width="15.85546875" style="38" customWidth="1"/>
    <col min="1798" max="1798" width="3" style="38" customWidth="1"/>
    <col min="1799" max="1799" width="14.42578125" style="38" customWidth="1"/>
    <col min="1800" max="1801" width="2.5703125" style="38" customWidth="1"/>
    <col min="1802" max="1802" width="16" style="38" bestFit="1" customWidth="1"/>
    <col min="1803" max="1803" width="15" style="38" bestFit="1" customWidth="1"/>
    <col min="1804" max="2048" width="9.140625" style="38"/>
    <col min="2049" max="2049" width="5.140625" style="38" customWidth="1"/>
    <col min="2050" max="2050" width="3.42578125" style="38" customWidth="1"/>
    <col min="2051" max="2051" width="31.5703125" style="38" customWidth="1"/>
    <col min="2052" max="2052" width="2.42578125" style="38" customWidth="1"/>
    <col min="2053" max="2053" width="15.85546875" style="38" customWidth="1"/>
    <col min="2054" max="2054" width="3" style="38" customWidth="1"/>
    <col min="2055" max="2055" width="14.42578125" style="38" customWidth="1"/>
    <col min="2056" max="2057" width="2.5703125" style="38" customWidth="1"/>
    <col min="2058" max="2058" width="16" style="38" bestFit="1" customWidth="1"/>
    <col min="2059" max="2059" width="15" style="38" bestFit="1" customWidth="1"/>
    <col min="2060" max="2304" width="9.140625" style="38"/>
    <col min="2305" max="2305" width="5.140625" style="38" customWidth="1"/>
    <col min="2306" max="2306" width="3.42578125" style="38" customWidth="1"/>
    <col min="2307" max="2307" width="31.5703125" style="38" customWidth="1"/>
    <col min="2308" max="2308" width="2.42578125" style="38" customWidth="1"/>
    <col min="2309" max="2309" width="15.85546875" style="38" customWidth="1"/>
    <col min="2310" max="2310" width="3" style="38" customWidth="1"/>
    <col min="2311" max="2311" width="14.42578125" style="38" customWidth="1"/>
    <col min="2312" max="2313" width="2.5703125" style="38" customWidth="1"/>
    <col min="2314" max="2314" width="16" style="38" bestFit="1" customWidth="1"/>
    <col min="2315" max="2315" width="15" style="38" bestFit="1" customWidth="1"/>
    <col min="2316" max="2560" width="9.140625" style="38"/>
    <col min="2561" max="2561" width="5.140625" style="38" customWidth="1"/>
    <col min="2562" max="2562" width="3.42578125" style="38" customWidth="1"/>
    <col min="2563" max="2563" width="31.5703125" style="38" customWidth="1"/>
    <col min="2564" max="2564" width="2.42578125" style="38" customWidth="1"/>
    <col min="2565" max="2565" width="15.85546875" style="38" customWidth="1"/>
    <col min="2566" max="2566" width="3" style="38" customWidth="1"/>
    <col min="2567" max="2567" width="14.42578125" style="38" customWidth="1"/>
    <col min="2568" max="2569" width="2.5703125" style="38" customWidth="1"/>
    <col min="2570" max="2570" width="16" style="38" bestFit="1" customWidth="1"/>
    <col min="2571" max="2571" width="15" style="38" bestFit="1" customWidth="1"/>
    <col min="2572" max="2816" width="9.140625" style="38"/>
    <col min="2817" max="2817" width="5.140625" style="38" customWidth="1"/>
    <col min="2818" max="2818" width="3.42578125" style="38" customWidth="1"/>
    <col min="2819" max="2819" width="31.5703125" style="38" customWidth="1"/>
    <col min="2820" max="2820" width="2.42578125" style="38" customWidth="1"/>
    <col min="2821" max="2821" width="15.85546875" style="38" customWidth="1"/>
    <col min="2822" max="2822" width="3" style="38" customWidth="1"/>
    <col min="2823" max="2823" width="14.42578125" style="38" customWidth="1"/>
    <col min="2824" max="2825" width="2.5703125" style="38" customWidth="1"/>
    <col min="2826" max="2826" width="16" style="38" bestFit="1" customWidth="1"/>
    <col min="2827" max="2827" width="15" style="38" bestFit="1" customWidth="1"/>
    <col min="2828" max="3072" width="9.140625" style="38"/>
    <col min="3073" max="3073" width="5.140625" style="38" customWidth="1"/>
    <col min="3074" max="3074" width="3.42578125" style="38" customWidth="1"/>
    <col min="3075" max="3075" width="31.5703125" style="38" customWidth="1"/>
    <col min="3076" max="3076" width="2.42578125" style="38" customWidth="1"/>
    <col min="3077" max="3077" width="15.85546875" style="38" customWidth="1"/>
    <col min="3078" max="3078" width="3" style="38" customWidth="1"/>
    <col min="3079" max="3079" width="14.42578125" style="38" customWidth="1"/>
    <col min="3080" max="3081" width="2.5703125" style="38" customWidth="1"/>
    <col min="3082" max="3082" width="16" style="38" bestFit="1" customWidth="1"/>
    <col min="3083" max="3083" width="15" style="38" bestFit="1" customWidth="1"/>
    <col min="3084" max="3328" width="9.140625" style="38"/>
    <col min="3329" max="3329" width="5.140625" style="38" customWidth="1"/>
    <col min="3330" max="3330" width="3.42578125" style="38" customWidth="1"/>
    <col min="3331" max="3331" width="31.5703125" style="38" customWidth="1"/>
    <col min="3332" max="3332" width="2.42578125" style="38" customWidth="1"/>
    <col min="3333" max="3333" width="15.85546875" style="38" customWidth="1"/>
    <col min="3334" max="3334" width="3" style="38" customWidth="1"/>
    <col min="3335" max="3335" width="14.42578125" style="38" customWidth="1"/>
    <col min="3336" max="3337" width="2.5703125" style="38" customWidth="1"/>
    <col min="3338" max="3338" width="16" style="38" bestFit="1" customWidth="1"/>
    <col min="3339" max="3339" width="15" style="38" bestFit="1" customWidth="1"/>
    <col min="3340" max="3584" width="9.140625" style="38"/>
    <col min="3585" max="3585" width="5.140625" style="38" customWidth="1"/>
    <col min="3586" max="3586" width="3.42578125" style="38" customWidth="1"/>
    <col min="3587" max="3587" width="31.5703125" style="38" customWidth="1"/>
    <col min="3588" max="3588" width="2.42578125" style="38" customWidth="1"/>
    <col min="3589" max="3589" width="15.85546875" style="38" customWidth="1"/>
    <col min="3590" max="3590" width="3" style="38" customWidth="1"/>
    <col min="3591" max="3591" width="14.42578125" style="38" customWidth="1"/>
    <col min="3592" max="3593" width="2.5703125" style="38" customWidth="1"/>
    <col min="3594" max="3594" width="16" style="38" bestFit="1" customWidth="1"/>
    <col min="3595" max="3595" width="15" style="38" bestFit="1" customWidth="1"/>
    <col min="3596" max="3840" width="9.140625" style="38"/>
    <col min="3841" max="3841" width="5.140625" style="38" customWidth="1"/>
    <col min="3842" max="3842" width="3.42578125" style="38" customWidth="1"/>
    <col min="3843" max="3843" width="31.5703125" style="38" customWidth="1"/>
    <col min="3844" max="3844" width="2.42578125" style="38" customWidth="1"/>
    <col min="3845" max="3845" width="15.85546875" style="38" customWidth="1"/>
    <col min="3846" max="3846" width="3" style="38" customWidth="1"/>
    <col min="3847" max="3847" width="14.42578125" style="38" customWidth="1"/>
    <col min="3848" max="3849" width="2.5703125" style="38" customWidth="1"/>
    <col min="3850" max="3850" width="16" style="38" bestFit="1" customWidth="1"/>
    <col min="3851" max="3851" width="15" style="38" bestFit="1" customWidth="1"/>
    <col min="3852" max="4096" width="9.140625" style="38"/>
    <col min="4097" max="4097" width="5.140625" style="38" customWidth="1"/>
    <col min="4098" max="4098" width="3.42578125" style="38" customWidth="1"/>
    <col min="4099" max="4099" width="31.5703125" style="38" customWidth="1"/>
    <col min="4100" max="4100" width="2.42578125" style="38" customWidth="1"/>
    <col min="4101" max="4101" width="15.85546875" style="38" customWidth="1"/>
    <col min="4102" max="4102" width="3" style="38" customWidth="1"/>
    <col min="4103" max="4103" width="14.42578125" style="38" customWidth="1"/>
    <col min="4104" max="4105" width="2.5703125" style="38" customWidth="1"/>
    <col min="4106" max="4106" width="16" style="38" bestFit="1" customWidth="1"/>
    <col min="4107" max="4107" width="15" style="38" bestFit="1" customWidth="1"/>
    <col min="4108" max="4352" width="9.140625" style="38"/>
    <col min="4353" max="4353" width="5.140625" style="38" customWidth="1"/>
    <col min="4354" max="4354" width="3.42578125" style="38" customWidth="1"/>
    <col min="4355" max="4355" width="31.5703125" style="38" customWidth="1"/>
    <col min="4356" max="4356" width="2.42578125" style="38" customWidth="1"/>
    <col min="4357" max="4357" width="15.85546875" style="38" customWidth="1"/>
    <col min="4358" max="4358" width="3" style="38" customWidth="1"/>
    <col min="4359" max="4359" width="14.42578125" style="38" customWidth="1"/>
    <col min="4360" max="4361" width="2.5703125" style="38" customWidth="1"/>
    <col min="4362" max="4362" width="16" style="38" bestFit="1" customWidth="1"/>
    <col min="4363" max="4363" width="15" style="38" bestFit="1" customWidth="1"/>
    <col min="4364" max="4608" width="9.140625" style="38"/>
    <col min="4609" max="4609" width="5.140625" style="38" customWidth="1"/>
    <col min="4610" max="4610" width="3.42578125" style="38" customWidth="1"/>
    <col min="4611" max="4611" width="31.5703125" style="38" customWidth="1"/>
    <col min="4612" max="4612" width="2.42578125" style="38" customWidth="1"/>
    <col min="4613" max="4613" width="15.85546875" style="38" customWidth="1"/>
    <col min="4614" max="4614" width="3" style="38" customWidth="1"/>
    <col min="4615" max="4615" width="14.42578125" style="38" customWidth="1"/>
    <col min="4616" max="4617" width="2.5703125" style="38" customWidth="1"/>
    <col min="4618" max="4618" width="16" style="38" bestFit="1" customWidth="1"/>
    <col min="4619" max="4619" width="15" style="38" bestFit="1" customWidth="1"/>
    <col min="4620" max="4864" width="9.140625" style="38"/>
    <col min="4865" max="4865" width="5.140625" style="38" customWidth="1"/>
    <col min="4866" max="4866" width="3.42578125" style="38" customWidth="1"/>
    <col min="4867" max="4867" width="31.5703125" style="38" customWidth="1"/>
    <col min="4868" max="4868" width="2.42578125" style="38" customWidth="1"/>
    <col min="4869" max="4869" width="15.85546875" style="38" customWidth="1"/>
    <col min="4870" max="4870" width="3" style="38" customWidth="1"/>
    <col min="4871" max="4871" width="14.42578125" style="38" customWidth="1"/>
    <col min="4872" max="4873" width="2.5703125" style="38" customWidth="1"/>
    <col min="4874" max="4874" width="16" style="38" bestFit="1" customWidth="1"/>
    <col min="4875" max="4875" width="15" style="38" bestFit="1" customWidth="1"/>
    <col min="4876" max="5120" width="9.140625" style="38"/>
    <col min="5121" max="5121" width="5.140625" style="38" customWidth="1"/>
    <col min="5122" max="5122" width="3.42578125" style="38" customWidth="1"/>
    <col min="5123" max="5123" width="31.5703125" style="38" customWidth="1"/>
    <col min="5124" max="5124" width="2.42578125" style="38" customWidth="1"/>
    <col min="5125" max="5125" width="15.85546875" style="38" customWidth="1"/>
    <col min="5126" max="5126" width="3" style="38" customWidth="1"/>
    <col min="5127" max="5127" width="14.42578125" style="38" customWidth="1"/>
    <col min="5128" max="5129" width="2.5703125" style="38" customWidth="1"/>
    <col min="5130" max="5130" width="16" style="38" bestFit="1" customWidth="1"/>
    <col min="5131" max="5131" width="15" style="38" bestFit="1" customWidth="1"/>
    <col min="5132" max="5376" width="9.140625" style="38"/>
    <col min="5377" max="5377" width="5.140625" style="38" customWidth="1"/>
    <col min="5378" max="5378" width="3.42578125" style="38" customWidth="1"/>
    <col min="5379" max="5379" width="31.5703125" style="38" customWidth="1"/>
    <col min="5380" max="5380" width="2.42578125" style="38" customWidth="1"/>
    <col min="5381" max="5381" width="15.85546875" style="38" customWidth="1"/>
    <col min="5382" max="5382" width="3" style="38" customWidth="1"/>
    <col min="5383" max="5383" width="14.42578125" style="38" customWidth="1"/>
    <col min="5384" max="5385" width="2.5703125" style="38" customWidth="1"/>
    <col min="5386" max="5386" width="16" style="38" bestFit="1" customWidth="1"/>
    <col min="5387" max="5387" width="15" style="38" bestFit="1" customWidth="1"/>
    <col min="5388" max="5632" width="9.140625" style="38"/>
    <col min="5633" max="5633" width="5.140625" style="38" customWidth="1"/>
    <col min="5634" max="5634" width="3.42578125" style="38" customWidth="1"/>
    <col min="5635" max="5635" width="31.5703125" style="38" customWidth="1"/>
    <col min="5636" max="5636" width="2.42578125" style="38" customWidth="1"/>
    <col min="5637" max="5637" width="15.85546875" style="38" customWidth="1"/>
    <col min="5638" max="5638" width="3" style="38" customWidth="1"/>
    <col min="5639" max="5639" width="14.42578125" style="38" customWidth="1"/>
    <col min="5640" max="5641" width="2.5703125" style="38" customWidth="1"/>
    <col min="5642" max="5642" width="16" style="38" bestFit="1" customWidth="1"/>
    <col min="5643" max="5643" width="15" style="38" bestFit="1" customWidth="1"/>
    <col min="5644" max="5888" width="9.140625" style="38"/>
    <col min="5889" max="5889" width="5.140625" style="38" customWidth="1"/>
    <col min="5890" max="5890" width="3.42578125" style="38" customWidth="1"/>
    <col min="5891" max="5891" width="31.5703125" style="38" customWidth="1"/>
    <col min="5892" max="5892" width="2.42578125" style="38" customWidth="1"/>
    <col min="5893" max="5893" width="15.85546875" style="38" customWidth="1"/>
    <col min="5894" max="5894" width="3" style="38" customWidth="1"/>
    <col min="5895" max="5895" width="14.42578125" style="38" customWidth="1"/>
    <col min="5896" max="5897" width="2.5703125" style="38" customWidth="1"/>
    <col min="5898" max="5898" width="16" style="38" bestFit="1" customWidth="1"/>
    <col min="5899" max="5899" width="15" style="38" bestFit="1" customWidth="1"/>
    <col min="5900" max="6144" width="9.140625" style="38"/>
    <col min="6145" max="6145" width="5.140625" style="38" customWidth="1"/>
    <col min="6146" max="6146" width="3.42578125" style="38" customWidth="1"/>
    <col min="6147" max="6147" width="31.5703125" style="38" customWidth="1"/>
    <col min="6148" max="6148" width="2.42578125" style="38" customWidth="1"/>
    <col min="6149" max="6149" width="15.85546875" style="38" customWidth="1"/>
    <col min="6150" max="6150" width="3" style="38" customWidth="1"/>
    <col min="6151" max="6151" width="14.42578125" style="38" customWidth="1"/>
    <col min="6152" max="6153" width="2.5703125" style="38" customWidth="1"/>
    <col min="6154" max="6154" width="16" style="38" bestFit="1" customWidth="1"/>
    <col min="6155" max="6155" width="15" style="38" bestFit="1" customWidth="1"/>
    <col min="6156" max="6400" width="9.140625" style="38"/>
    <col min="6401" max="6401" width="5.140625" style="38" customWidth="1"/>
    <col min="6402" max="6402" width="3.42578125" style="38" customWidth="1"/>
    <col min="6403" max="6403" width="31.5703125" style="38" customWidth="1"/>
    <col min="6404" max="6404" width="2.42578125" style="38" customWidth="1"/>
    <col min="6405" max="6405" width="15.85546875" style="38" customWidth="1"/>
    <col min="6406" max="6406" width="3" style="38" customWidth="1"/>
    <col min="6407" max="6407" width="14.42578125" style="38" customWidth="1"/>
    <col min="6408" max="6409" width="2.5703125" style="38" customWidth="1"/>
    <col min="6410" max="6410" width="16" style="38" bestFit="1" customWidth="1"/>
    <col min="6411" max="6411" width="15" style="38" bestFit="1" customWidth="1"/>
    <col min="6412" max="6656" width="9.140625" style="38"/>
    <col min="6657" max="6657" width="5.140625" style="38" customWidth="1"/>
    <col min="6658" max="6658" width="3.42578125" style="38" customWidth="1"/>
    <col min="6659" max="6659" width="31.5703125" style="38" customWidth="1"/>
    <col min="6660" max="6660" width="2.42578125" style="38" customWidth="1"/>
    <col min="6661" max="6661" width="15.85546875" style="38" customWidth="1"/>
    <col min="6662" max="6662" width="3" style="38" customWidth="1"/>
    <col min="6663" max="6663" width="14.42578125" style="38" customWidth="1"/>
    <col min="6664" max="6665" width="2.5703125" style="38" customWidth="1"/>
    <col min="6666" max="6666" width="16" style="38" bestFit="1" customWidth="1"/>
    <col min="6667" max="6667" width="15" style="38" bestFit="1" customWidth="1"/>
    <col min="6668" max="6912" width="9.140625" style="38"/>
    <col min="6913" max="6913" width="5.140625" style="38" customWidth="1"/>
    <col min="6914" max="6914" width="3.42578125" style="38" customWidth="1"/>
    <col min="6915" max="6915" width="31.5703125" style="38" customWidth="1"/>
    <col min="6916" max="6916" width="2.42578125" style="38" customWidth="1"/>
    <col min="6917" max="6917" width="15.85546875" style="38" customWidth="1"/>
    <col min="6918" max="6918" width="3" style="38" customWidth="1"/>
    <col min="6919" max="6919" width="14.42578125" style="38" customWidth="1"/>
    <col min="6920" max="6921" width="2.5703125" style="38" customWidth="1"/>
    <col min="6922" max="6922" width="16" style="38" bestFit="1" customWidth="1"/>
    <col min="6923" max="6923" width="15" style="38" bestFit="1" customWidth="1"/>
    <col min="6924" max="7168" width="9.140625" style="38"/>
    <col min="7169" max="7169" width="5.140625" style="38" customWidth="1"/>
    <col min="7170" max="7170" width="3.42578125" style="38" customWidth="1"/>
    <col min="7171" max="7171" width="31.5703125" style="38" customWidth="1"/>
    <col min="7172" max="7172" width="2.42578125" style="38" customWidth="1"/>
    <col min="7173" max="7173" width="15.85546875" style="38" customWidth="1"/>
    <col min="7174" max="7174" width="3" style="38" customWidth="1"/>
    <col min="7175" max="7175" width="14.42578125" style="38" customWidth="1"/>
    <col min="7176" max="7177" width="2.5703125" style="38" customWidth="1"/>
    <col min="7178" max="7178" width="16" style="38" bestFit="1" customWidth="1"/>
    <col min="7179" max="7179" width="15" style="38" bestFit="1" customWidth="1"/>
    <col min="7180" max="7424" width="9.140625" style="38"/>
    <col min="7425" max="7425" width="5.140625" style="38" customWidth="1"/>
    <col min="7426" max="7426" width="3.42578125" style="38" customWidth="1"/>
    <col min="7427" max="7427" width="31.5703125" style="38" customWidth="1"/>
    <col min="7428" max="7428" width="2.42578125" style="38" customWidth="1"/>
    <col min="7429" max="7429" width="15.85546875" style="38" customWidth="1"/>
    <col min="7430" max="7430" width="3" style="38" customWidth="1"/>
    <col min="7431" max="7431" width="14.42578125" style="38" customWidth="1"/>
    <col min="7432" max="7433" width="2.5703125" style="38" customWidth="1"/>
    <col min="7434" max="7434" width="16" style="38" bestFit="1" customWidth="1"/>
    <col min="7435" max="7435" width="15" style="38" bestFit="1" customWidth="1"/>
    <col min="7436" max="7680" width="9.140625" style="38"/>
    <col min="7681" max="7681" width="5.140625" style="38" customWidth="1"/>
    <col min="7682" max="7682" width="3.42578125" style="38" customWidth="1"/>
    <col min="7683" max="7683" width="31.5703125" style="38" customWidth="1"/>
    <col min="7684" max="7684" width="2.42578125" style="38" customWidth="1"/>
    <col min="7685" max="7685" width="15.85546875" style="38" customWidth="1"/>
    <col min="7686" max="7686" width="3" style="38" customWidth="1"/>
    <col min="7687" max="7687" width="14.42578125" style="38" customWidth="1"/>
    <col min="7688" max="7689" width="2.5703125" style="38" customWidth="1"/>
    <col min="7690" max="7690" width="16" style="38" bestFit="1" customWidth="1"/>
    <col min="7691" max="7691" width="15" style="38" bestFit="1" customWidth="1"/>
    <col min="7692" max="7936" width="9.140625" style="38"/>
    <col min="7937" max="7937" width="5.140625" style="38" customWidth="1"/>
    <col min="7938" max="7938" width="3.42578125" style="38" customWidth="1"/>
    <col min="7939" max="7939" width="31.5703125" style="38" customWidth="1"/>
    <col min="7940" max="7940" width="2.42578125" style="38" customWidth="1"/>
    <col min="7941" max="7941" width="15.85546875" style="38" customWidth="1"/>
    <col min="7942" max="7942" width="3" style="38" customWidth="1"/>
    <col min="7943" max="7943" width="14.42578125" style="38" customWidth="1"/>
    <col min="7944" max="7945" width="2.5703125" style="38" customWidth="1"/>
    <col min="7946" max="7946" width="16" style="38" bestFit="1" customWidth="1"/>
    <col min="7947" max="7947" width="15" style="38" bestFit="1" customWidth="1"/>
    <col min="7948" max="8192" width="9.140625" style="38"/>
    <col min="8193" max="8193" width="5.140625" style="38" customWidth="1"/>
    <col min="8194" max="8194" width="3.42578125" style="38" customWidth="1"/>
    <col min="8195" max="8195" width="31.5703125" style="38" customWidth="1"/>
    <col min="8196" max="8196" width="2.42578125" style="38" customWidth="1"/>
    <col min="8197" max="8197" width="15.85546875" style="38" customWidth="1"/>
    <col min="8198" max="8198" width="3" style="38" customWidth="1"/>
    <col min="8199" max="8199" width="14.42578125" style="38" customWidth="1"/>
    <col min="8200" max="8201" width="2.5703125" style="38" customWidth="1"/>
    <col min="8202" max="8202" width="16" style="38" bestFit="1" customWidth="1"/>
    <col min="8203" max="8203" width="15" style="38" bestFit="1" customWidth="1"/>
    <col min="8204" max="8448" width="9.140625" style="38"/>
    <col min="8449" max="8449" width="5.140625" style="38" customWidth="1"/>
    <col min="8450" max="8450" width="3.42578125" style="38" customWidth="1"/>
    <col min="8451" max="8451" width="31.5703125" style="38" customWidth="1"/>
    <col min="8452" max="8452" width="2.42578125" style="38" customWidth="1"/>
    <col min="8453" max="8453" width="15.85546875" style="38" customWidth="1"/>
    <col min="8454" max="8454" width="3" style="38" customWidth="1"/>
    <col min="8455" max="8455" width="14.42578125" style="38" customWidth="1"/>
    <col min="8456" max="8457" width="2.5703125" style="38" customWidth="1"/>
    <col min="8458" max="8458" width="16" style="38" bestFit="1" customWidth="1"/>
    <col min="8459" max="8459" width="15" style="38" bestFit="1" customWidth="1"/>
    <col min="8460" max="8704" width="9.140625" style="38"/>
    <col min="8705" max="8705" width="5.140625" style="38" customWidth="1"/>
    <col min="8706" max="8706" width="3.42578125" style="38" customWidth="1"/>
    <col min="8707" max="8707" width="31.5703125" style="38" customWidth="1"/>
    <col min="8708" max="8708" width="2.42578125" style="38" customWidth="1"/>
    <col min="8709" max="8709" width="15.85546875" style="38" customWidth="1"/>
    <col min="8710" max="8710" width="3" style="38" customWidth="1"/>
    <col min="8711" max="8711" width="14.42578125" style="38" customWidth="1"/>
    <col min="8712" max="8713" width="2.5703125" style="38" customWidth="1"/>
    <col min="8714" max="8714" width="16" style="38" bestFit="1" customWidth="1"/>
    <col min="8715" max="8715" width="15" style="38" bestFit="1" customWidth="1"/>
    <col min="8716" max="8960" width="9.140625" style="38"/>
    <col min="8961" max="8961" width="5.140625" style="38" customWidth="1"/>
    <col min="8962" max="8962" width="3.42578125" style="38" customWidth="1"/>
    <col min="8963" max="8963" width="31.5703125" style="38" customWidth="1"/>
    <col min="8964" max="8964" width="2.42578125" style="38" customWidth="1"/>
    <col min="8965" max="8965" width="15.85546875" style="38" customWidth="1"/>
    <col min="8966" max="8966" width="3" style="38" customWidth="1"/>
    <col min="8967" max="8967" width="14.42578125" style="38" customWidth="1"/>
    <col min="8968" max="8969" width="2.5703125" style="38" customWidth="1"/>
    <col min="8970" max="8970" width="16" style="38" bestFit="1" customWidth="1"/>
    <col min="8971" max="8971" width="15" style="38" bestFit="1" customWidth="1"/>
    <col min="8972" max="9216" width="9.140625" style="38"/>
    <col min="9217" max="9217" width="5.140625" style="38" customWidth="1"/>
    <col min="9218" max="9218" width="3.42578125" style="38" customWidth="1"/>
    <col min="9219" max="9219" width="31.5703125" style="38" customWidth="1"/>
    <col min="9220" max="9220" width="2.42578125" style="38" customWidth="1"/>
    <col min="9221" max="9221" width="15.85546875" style="38" customWidth="1"/>
    <col min="9222" max="9222" width="3" style="38" customWidth="1"/>
    <col min="9223" max="9223" width="14.42578125" style="38" customWidth="1"/>
    <col min="9224" max="9225" width="2.5703125" style="38" customWidth="1"/>
    <col min="9226" max="9226" width="16" style="38" bestFit="1" customWidth="1"/>
    <col min="9227" max="9227" width="15" style="38" bestFit="1" customWidth="1"/>
    <col min="9228" max="9472" width="9.140625" style="38"/>
    <col min="9473" max="9473" width="5.140625" style="38" customWidth="1"/>
    <col min="9474" max="9474" width="3.42578125" style="38" customWidth="1"/>
    <col min="9475" max="9475" width="31.5703125" style="38" customWidth="1"/>
    <col min="9476" max="9476" width="2.42578125" style="38" customWidth="1"/>
    <col min="9477" max="9477" width="15.85546875" style="38" customWidth="1"/>
    <col min="9478" max="9478" width="3" style="38" customWidth="1"/>
    <col min="9479" max="9479" width="14.42578125" style="38" customWidth="1"/>
    <col min="9480" max="9481" width="2.5703125" style="38" customWidth="1"/>
    <col min="9482" max="9482" width="16" style="38" bestFit="1" customWidth="1"/>
    <col min="9483" max="9483" width="15" style="38" bestFit="1" customWidth="1"/>
    <col min="9484" max="9728" width="9.140625" style="38"/>
    <col min="9729" max="9729" width="5.140625" style="38" customWidth="1"/>
    <col min="9730" max="9730" width="3.42578125" style="38" customWidth="1"/>
    <col min="9731" max="9731" width="31.5703125" style="38" customWidth="1"/>
    <col min="9732" max="9732" width="2.42578125" style="38" customWidth="1"/>
    <col min="9733" max="9733" width="15.85546875" style="38" customWidth="1"/>
    <col min="9734" max="9734" width="3" style="38" customWidth="1"/>
    <col min="9735" max="9735" width="14.42578125" style="38" customWidth="1"/>
    <col min="9736" max="9737" width="2.5703125" style="38" customWidth="1"/>
    <col min="9738" max="9738" width="16" style="38" bestFit="1" customWidth="1"/>
    <col min="9739" max="9739" width="15" style="38" bestFit="1" customWidth="1"/>
    <col min="9740" max="9984" width="9.140625" style="38"/>
    <col min="9985" max="9985" width="5.140625" style="38" customWidth="1"/>
    <col min="9986" max="9986" width="3.42578125" style="38" customWidth="1"/>
    <col min="9987" max="9987" width="31.5703125" style="38" customWidth="1"/>
    <col min="9988" max="9988" width="2.42578125" style="38" customWidth="1"/>
    <col min="9989" max="9989" width="15.85546875" style="38" customWidth="1"/>
    <col min="9990" max="9990" width="3" style="38" customWidth="1"/>
    <col min="9991" max="9991" width="14.42578125" style="38" customWidth="1"/>
    <col min="9992" max="9993" width="2.5703125" style="38" customWidth="1"/>
    <col min="9994" max="9994" width="16" style="38" bestFit="1" customWidth="1"/>
    <col min="9995" max="9995" width="15" style="38" bestFit="1" customWidth="1"/>
    <col min="9996" max="10240" width="9.140625" style="38"/>
    <col min="10241" max="10241" width="5.140625" style="38" customWidth="1"/>
    <col min="10242" max="10242" width="3.42578125" style="38" customWidth="1"/>
    <col min="10243" max="10243" width="31.5703125" style="38" customWidth="1"/>
    <col min="10244" max="10244" width="2.42578125" style="38" customWidth="1"/>
    <col min="10245" max="10245" width="15.85546875" style="38" customWidth="1"/>
    <col min="10246" max="10246" width="3" style="38" customWidth="1"/>
    <col min="10247" max="10247" width="14.42578125" style="38" customWidth="1"/>
    <col min="10248" max="10249" width="2.5703125" style="38" customWidth="1"/>
    <col min="10250" max="10250" width="16" style="38" bestFit="1" customWidth="1"/>
    <col min="10251" max="10251" width="15" style="38" bestFit="1" customWidth="1"/>
    <col min="10252" max="10496" width="9.140625" style="38"/>
    <col min="10497" max="10497" width="5.140625" style="38" customWidth="1"/>
    <col min="10498" max="10498" width="3.42578125" style="38" customWidth="1"/>
    <col min="10499" max="10499" width="31.5703125" style="38" customWidth="1"/>
    <col min="10500" max="10500" width="2.42578125" style="38" customWidth="1"/>
    <col min="10501" max="10501" width="15.85546875" style="38" customWidth="1"/>
    <col min="10502" max="10502" width="3" style="38" customWidth="1"/>
    <col min="10503" max="10503" width="14.42578125" style="38" customWidth="1"/>
    <col min="10504" max="10505" width="2.5703125" style="38" customWidth="1"/>
    <col min="10506" max="10506" width="16" style="38" bestFit="1" customWidth="1"/>
    <col min="10507" max="10507" width="15" style="38" bestFit="1" customWidth="1"/>
    <col min="10508" max="10752" width="9.140625" style="38"/>
    <col min="10753" max="10753" width="5.140625" style="38" customWidth="1"/>
    <col min="10754" max="10754" width="3.42578125" style="38" customWidth="1"/>
    <col min="10755" max="10755" width="31.5703125" style="38" customWidth="1"/>
    <col min="10756" max="10756" width="2.42578125" style="38" customWidth="1"/>
    <col min="10757" max="10757" width="15.85546875" style="38" customWidth="1"/>
    <col min="10758" max="10758" width="3" style="38" customWidth="1"/>
    <col min="10759" max="10759" width="14.42578125" style="38" customWidth="1"/>
    <col min="10760" max="10761" width="2.5703125" style="38" customWidth="1"/>
    <col min="10762" max="10762" width="16" style="38" bestFit="1" customWidth="1"/>
    <col min="10763" max="10763" width="15" style="38" bestFit="1" customWidth="1"/>
    <col min="10764" max="11008" width="9.140625" style="38"/>
    <col min="11009" max="11009" width="5.140625" style="38" customWidth="1"/>
    <col min="11010" max="11010" width="3.42578125" style="38" customWidth="1"/>
    <col min="11011" max="11011" width="31.5703125" style="38" customWidth="1"/>
    <col min="11012" max="11012" width="2.42578125" style="38" customWidth="1"/>
    <col min="11013" max="11013" width="15.85546875" style="38" customWidth="1"/>
    <col min="11014" max="11014" width="3" style="38" customWidth="1"/>
    <col min="11015" max="11015" width="14.42578125" style="38" customWidth="1"/>
    <col min="11016" max="11017" width="2.5703125" style="38" customWidth="1"/>
    <col min="11018" max="11018" width="16" style="38" bestFit="1" customWidth="1"/>
    <col min="11019" max="11019" width="15" style="38" bestFit="1" customWidth="1"/>
    <col min="11020" max="11264" width="9.140625" style="38"/>
    <col min="11265" max="11265" width="5.140625" style="38" customWidth="1"/>
    <col min="11266" max="11266" width="3.42578125" style="38" customWidth="1"/>
    <col min="11267" max="11267" width="31.5703125" style="38" customWidth="1"/>
    <col min="11268" max="11268" width="2.42578125" style="38" customWidth="1"/>
    <col min="11269" max="11269" width="15.85546875" style="38" customWidth="1"/>
    <col min="11270" max="11270" width="3" style="38" customWidth="1"/>
    <col min="11271" max="11271" width="14.42578125" style="38" customWidth="1"/>
    <col min="11272" max="11273" width="2.5703125" style="38" customWidth="1"/>
    <col min="11274" max="11274" width="16" style="38" bestFit="1" customWidth="1"/>
    <col min="11275" max="11275" width="15" style="38" bestFit="1" customWidth="1"/>
    <col min="11276" max="11520" width="9.140625" style="38"/>
    <col min="11521" max="11521" width="5.140625" style="38" customWidth="1"/>
    <col min="11522" max="11522" width="3.42578125" style="38" customWidth="1"/>
    <col min="11523" max="11523" width="31.5703125" style="38" customWidth="1"/>
    <col min="11524" max="11524" width="2.42578125" style="38" customWidth="1"/>
    <col min="11525" max="11525" width="15.85546875" style="38" customWidth="1"/>
    <col min="11526" max="11526" width="3" style="38" customWidth="1"/>
    <col min="11527" max="11527" width="14.42578125" style="38" customWidth="1"/>
    <col min="11528" max="11529" width="2.5703125" style="38" customWidth="1"/>
    <col min="11530" max="11530" width="16" style="38" bestFit="1" customWidth="1"/>
    <col min="11531" max="11531" width="15" style="38" bestFit="1" customWidth="1"/>
    <col min="11532" max="11776" width="9.140625" style="38"/>
    <col min="11777" max="11777" width="5.140625" style="38" customWidth="1"/>
    <col min="11778" max="11778" width="3.42578125" style="38" customWidth="1"/>
    <col min="11779" max="11779" width="31.5703125" style="38" customWidth="1"/>
    <col min="11780" max="11780" width="2.42578125" style="38" customWidth="1"/>
    <col min="11781" max="11781" width="15.85546875" style="38" customWidth="1"/>
    <col min="11782" max="11782" width="3" style="38" customWidth="1"/>
    <col min="11783" max="11783" width="14.42578125" style="38" customWidth="1"/>
    <col min="11784" max="11785" width="2.5703125" style="38" customWidth="1"/>
    <col min="11786" max="11786" width="16" style="38" bestFit="1" customWidth="1"/>
    <col min="11787" max="11787" width="15" style="38" bestFit="1" customWidth="1"/>
    <col min="11788" max="12032" width="9.140625" style="38"/>
    <col min="12033" max="12033" width="5.140625" style="38" customWidth="1"/>
    <col min="12034" max="12034" width="3.42578125" style="38" customWidth="1"/>
    <col min="12035" max="12035" width="31.5703125" style="38" customWidth="1"/>
    <col min="12036" max="12036" width="2.42578125" style="38" customWidth="1"/>
    <col min="12037" max="12037" width="15.85546875" style="38" customWidth="1"/>
    <col min="12038" max="12038" width="3" style="38" customWidth="1"/>
    <col min="12039" max="12039" width="14.42578125" style="38" customWidth="1"/>
    <col min="12040" max="12041" width="2.5703125" style="38" customWidth="1"/>
    <col min="12042" max="12042" width="16" style="38" bestFit="1" customWidth="1"/>
    <col min="12043" max="12043" width="15" style="38" bestFit="1" customWidth="1"/>
    <col min="12044" max="12288" width="9.140625" style="38"/>
    <col min="12289" max="12289" width="5.140625" style="38" customWidth="1"/>
    <col min="12290" max="12290" width="3.42578125" style="38" customWidth="1"/>
    <col min="12291" max="12291" width="31.5703125" style="38" customWidth="1"/>
    <col min="12292" max="12292" width="2.42578125" style="38" customWidth="1"/>
    <col min="12293" max="12293" width="15.85546875" style="38" customWidth="1"/>
    <col min="12294" max="12294" width="3" style="38" customWidth="1"/>
    <col min="12295" max="12295" width="14.42578125" style="38" customWidth="1"/>
    <col min="12296" max="12297" width="2.5703125" style="38" customWidth="1"/>
    <col min="12298" max="12298" width="16" style="38" bestFit="1" customWidth="1"/>
    <col min="12299" max="12299" width="15" style="38" bestFit="1" customWidth="1"/>
    <col min="12300" max="12544" width="9.140625" style="38"/>
    <col min="12545" max="12545" width="5.140625" style="38" customWidth="1"/>
    <col min="12546" max="12546" width="3.42578125" style="38" customWidth="1"/>
    <col min="12547" max="12547" width="31.5703125" style="38" customWidth="1"/>
    <col min="12548" max="12548" width="2.42578125" style="38" customWidth="1"/>
    <col min="12549" max="12549" width="15.85546875" style="38" customWidth="1"/>
    <col min="12550" max="12550" width="3" style="38" customWidth="1"/>
    <col min="12551" max="12551" width="14.42578125" style="38" customWidth="1"/>
    <col min="12552" max="12553" width="2.5703125" style="38" customWidth="1"/>
    <col min="12554" max="12554" width="16" style="38" bestFit="1" customWidth="1"/>
    <col min="12555" max="12555" width="15" style="38" bestFit="1" customWidth="1"/>
    <col min="12556" max="12800" width="9.140625" style="38"/>
    <col min="12801" max="12801" width="5.140625" style="38" customWidth="1"/>
    <col min="12802" max="12802" width="3.42578125" style="38" customWidth="1"/>
    <col min="12803" max="12803" width="31.5703125" style="38" customWidth="1"/>
    <col min="12804" max="12804" width="2.42578125" style="38" customWidth="1"/>
    <col min="12805" max="12805" width="15.85546875" style="38" customWidth="1"/>
    <col min="12806" max="12806" width="3" style="38" customWidth="1"/>
    <col min="12807" max="12807" width="14.42578125" style="38" customWidth="1"/>
    <col min="12808" max="12809" width="2.5703125" style="38" customWidth="1"/>
    <col min="12810" max="12810" width="16" style="38" bestFit="1" customWidth="1"/>
    <col min="12811" max="12811" width="15" style="38" bestFit="1" customWidth="1"/>
    <col min="12812" max="13056" width="9.140625" style="38"/>
    <col min="13057" max="13057" width="5.140625" style="38" customWidth="1"/>
    <col min="13058" max="13058" width="3.42578125" style="38" customWidth="1"/>
    <col min="13059" max="13059" width="31.5703125" style="38" customWidth="1"/>
    <col min="13060" max="13060" width="2.42578125" style="38" customWidth="1"/>
    <col min="13061" max="13061" width="15.85546875" style="38" customWidth="1"/>
    <col min="13062" max="13062" width="3" style="38" customWidth="1"/>
    <col min="13063" max="13063" width="14.42578125" style="38" customWidth="1"/>
    <col min="13064" max="13065" width="2.5703125" style="38" customWidth="1"/>
    <col min="13066" max="13066" width="16" style="38" bestFit="1" customWidth="1"/>
    <col min="13067" max="13067" width="15" style="38" bestFit="1" customWidth="1"/>
    <col min="13068" max="13312" width="9.140625" style="38"/>
    <col min="13313" max="13313" width="5.140625" style="38" customWidth="1"/>
    <col min="13314" max="13314" width="3.42578125" style="38" customWidth="1"/>
    <col min="13315" max="13315" width="31.5703125" style="38" customWidth="1"/>
    <col min="13316" max="13316" width="2.42578125" style="38" customWidth="1"/>
    <col min="13317" max="13317" width="15.85546875" style="38" customWidth="1"/>
    <col min="13318" max="13318" width="3" style="38" customWidth="1"/>
    <col min="13319" max="13319" width="14.42578125" style="38" customWidth="1"/>
    <col min="13320" max="13321" width="2.5703125" style="38" customWidth="1"/>
    <col min="13322" max="13322" width="16" style="38" bestFit="1" customWidth="1"/>
    <col min="13323" max="13323" width="15" style="38" bestFit="1" customWidth="1"/>
    <col min="13324" max="13568" width="9.140625" style="38"/>
    <col min="13569" max="13569" width="5.140625" style="38" customWidth="1"/>
    <col min="13570" max="13570" width="3.42578125" style="38" customWidth="1"/>
    <col min="13571" max="13571" width="31.5703125" style="38" customWidth="1"/>
    <col min="13572" max="13572" width="2.42578125" style="38" customWidth="1"/>
    <col min="13573" max="13573" width="15.85546875" style="38" customWidth="1"/>
    <col min="13574" max="13574" width="3" style="38" customWidth="1"/>
    <col min="13575" max="13575" width="14.42578125" style="38" customWidth="1"/>
    <col min="13576" max="13577" width="2.5703125" style="38" customWidth="1"/>
    <col min="13578" max="13578" width="16" style="38" bestFit="1" customWidth="1"/>
    <col min="13579" max="13579" width="15" style="38" bestFit="1" customWidth="1"/>
    <col min="13580" max="13824" width="9.140625" style="38"/>
    <col min="13825" max="13825" width="5.140625" style="38" customWidth="1"/>
    <col min="13826" max="13826" width="3.42578125" style="38" customWidth="1"/>
    <col min="13827" max="13827" width="31.5703125" style="38" customWidth="1"/>
    <col min="13828" max="13828" width="2.42578125" style="38" customWidth="1"/>
    <col min="13829" max="13829" width="15.85546875" style="38" customWidth="1"/>
    <col min="13830" max="13830" width="3" style="38" customWidth="1"/>
    <col min="13831" max="13831" width="14.42578125" style="38" customWidth="1"/>
    <col min="13832" max="13833" width="2.5703125" style="38" customWidth="1"/>
    <col min="13834" max="13834" width="16" style="38" bestFit="1" customWidth="1"/>
    <col min="13835" max="13835" width="15" style="38" bestFit="1" customWidth="1"/>
    <col min="13836" max="14080" width="9.140625" style="38"/>
    <col min="14081" max="14081" width="5.140625" style="38" customWidth="1"/>
    <col min="14082" max="14082" width="3.42578125" style="38" customWidth="1"/>
    <col min="14083" max="14083" width="31.5703125" style="38" customWidth="1"/>
    <col min="14084" max="14084" width="2.42578125" style="38" customWidth="1"/>
    <col min="14085" max="14085" width="15.85546875" style="38" customWidth="1"/>
    <col min="14086" max="14086" width="3" style="38" customWidth="1"/>
    <col min="14087" max="14087" width="14.42578125" style="38" customWidth="1"/>
    <col min="14088" max="14089" width="2.5703125" style="38" customWidth="1"/>
    <col min="14090" max="14090" width="16" style="38" bestFit="1" customWidth="1"/>
    <col min="14091" max="14091" width="15" style="38" bestFit="1" customWidth="1"/>
    <col min="14092" max="14336" width="9.140625" style="38"/>
    <col min="14337" max="14337" width="5.140625" style="38" customWidth="1"/>
    <col min="14338" max="14338" width="3.42578125" style="38" customWidth="1"/>
    <col min="14339" max="14339" width="31.5703125" style="38" customWidth="1"/>
    <col min="14340" max="14340" width="2.42578125" style="38" customWidth="1"/>
    <col min="14341" max="14341" width="15.85546875" style="38" customWidth="1"/>
    <col min="14342" max="14342" width="3" style="38" customWidth="1"/>
    <col min="14343" max="14343" width="14.42578125" style="38" customWidth="1"/>
    <col min="14344" max="14345" width="2.5703125" style="38" customWidth="1"/>
    <col min="14346" max="14346" width="16" style="38" bestFit="1" customWidth="1"/>
    <col min="14347" max="14347" width="15" style="38" bestFit="1" customWidth="1"/>
    <col min="14348" max="14592" width="9.140625" style="38"/>
    <col min="14593" max="14593" width="5.140625" style="38" customWidth="1"/>
    <col min="14594" max="14594" width="3.42578125" style="38" customWidth="1"/>
    <col min="14595" max="14595" width="31.5703125" style="38" customWidth="1"/>
    <col min="14596" max="14596" width="2.42578125" style="38" customWidth="1"/>
    <col min="14597" max="14597" width="15.85546875" style="38" customWidth="1"/>
    <col min="14598" max="14598" width="3" style="38" customWidth="1"/>
    <col min="14599" max="14599" width="14.42578125" style="38" customWidth="1"/>
    <col min="14600" max="14601" width="2.5703125" style="38" customWidth="1"/>
    <col min="14602" max="14602" width="16" style="38" bestFit="1" customWidth="1"/>
    <col min="14603" max="14603" width="15" style="38" bestFit="1" customWidth="1"/>
    <col min="14604" max="14848" width="9.140625" style="38"/>
    <col min="14849" max="14849" width="5.140625" style="38" customWidth="1"/>
    <col min="14850" max="14850" width="3.42578125" style="38" customWidth="1"/>
    <col min="14851" max="14851" width="31.5703125" style="38" customWidth="1"/>
    <col min="14852" max="14852" width="2.42578125" style="38" customWidth="1"/>
    <col min="14853" max="14853" width="15.85546875" style="38" customWidth="1"/>
    <col min="14854" max="14854" width="3" style="38" customWidth="1"/>
    <col min="14855" max="14855" width="14.42578125" style="38" customWidth="1"/>
    <col min="14856" max="14857" width="2.5703125" style="38" customWidth="1"/>
    <col min="14858" max="14858" width="16" style="38" bestFit="1" customWidth="1"/>
    <col min="14859" max="14859" width="15" style="38" bestFit="1" customWidth="1"/>
    <col min="14860" max="15104" width="9.140625" style="38"/>
    <col min="15105" max="15105" width="5.140625" style="38" customWidth="1"/>
    <col min="15106" max="15106" width="3.42578125" style="38" customWidth="1"/>
    <col min="15107" max="15107" width="31.5703125" style="38" customWidth="1"/>
    <col min="15108" max="15108" width="2.42578125" style="38" customWidth="1"/>
    <col min="15109" max="15109" width="15.85546875" style="38" customWidth="1"/>
    <col min="15110" max="15110" width="3" style="38" customWidth="1"/>
    <col min="15111" max="15111" width="14.42578125" style="38" customWidth="1"/>
    <col min="15112" max="15113" width="2.5703125" style="38" customWidth="1"/>
    <col min="15114" max="15114" width="16" style="38" bestFit="1" customWidth="1"/>
    <col min="15115" max="15115" width="15" style="38" bestFit="1" customWidth="1"/>
    <col min="15116" max="15360" width="9.140625" style="38"/>
    <col min="15361" max="15361" width="5.140625" style="38" customWidth="1"/>
    <col min="15362" max="15362" width="3.42578125" style="38" customWidth="1"/>
    <col min="15363" max="15363" width="31.5703125" style="38" customWidth="1"/>
    <col min="15364" max="15364" width="2.42578125" style="38" customWidth="1"/>
    <col min="15365" max="15365" width="15.85546875" style="38" customWidth="1"/>
    <col min="15366" max="15366" width="3" style="38" customWidth="1"/>
    <col min="15367" max="15367" width="14.42578125" style="38" customWidth="1"/>
    <col min="15368" max="15369" width="2.5703125" style="38" customWidth="1"/>
    <col min="15370" max="15370" width="16" style="38" bestFit="1" customWidth="1"/>
    <col min="15371" max="15371" width="15" style="38" bestFit="1" customWidth="1"/>
    <col min="15372" max="15616" width="9.140625" style="38"/>
    <col min="15617" max="15617" width="5.140625" style="38" customWidth="1"/>
    <col min="15618" max="15618" width="3.42578125" style="38" customWidth="1"/>
    <col min="15619" max="15619" width="31.5703125" style="38" customWidth="1"/>
    <col min="15620" max="15620" width="2.42578125" style="38" customWidth="1"/>
    <col min="15621" max="15621" width="15.85546875" style="38" customWidth="1"/>
    <col min="15622" max="15622" width="3" style="38" customWidth="1"/>
    <col min="15623" max="15623" width="14.42578125" style="38" customWidth="1"/>
    <col min="15624" max="15625" width="2.5703125" style="38" customWidth="1"/>
    <col min="15626" max="15626" width="16" style="38" bestFit="1" customWidth="1"/>
    <col min="15627" max="15627" width="15" style="38" bestFit="1" customWidth="1"/>
    <col min="15628" max="15872" width="9.140625" style="38"/>
    <col min="15873" max="15873" width="5.140625" style="38" customWidth="1"/>
    <col min="15874" max="15874" width="3.42578125" style="38" customWidth="1"/>
    <col min="15875" max="15875" width="31.5703125" style="38" customWidth="1"/>
    <col min="15876" max="15876" width="2.42578125" style="38" customWidth="1"/>
    <col min="15877" max="15877" width="15.85546875" style="38" customWidth="1"/>
    <col min="15878" max="15878" width="3" style="38" customWidth="1"/>
    <col min="15879" max="15879" width="14.42578125" style="38" customWidth="1"/>
    <col min="15880" max="15881" width="2.5703125" style="38" customWidth="1"/>
    <col min="15882" max="15882" width="16" style="38" bestFit="1" customWidth="1"/>
    <col min="15883" max="15883" width="15" style="38" bestFit="1" customWidth="1"/>
    <col min="15884" max="16128" width="9.140625" style="38"/>
    <col min="16129" max="16129" width="5.140625" style="38" customWidth="1"/>
    <col min="16130" max="16130" width="3.42578125" style="38" customWidth="1"/>
    <col min="16131" max="16131" width="31.5703125" style="38" customWidth="1"/>
    <col min="16132" max="16132" width="2.42578125" style="38" customWidth="1"/>
    <col min="16133" max="16133" width="15.85546875" style="38" customWidth="1"/>
    <col min="16134" max="16134" width="3" style="38" customWidth="1"/>
    <col min="16135" max="16135" width="14.42578125" style="38" customWidth="1"/>
    <col min="16136" max="16137" width="2.5703125" style="38" customWidth="1"/>
    <col min="16138" max="16138" width="16" style="38" bestFit="1" customWidth="1"/>
    <col min="16139" max="16139" width="15" style="38" bestFit="1" customWidth="1"/>
    <col min="16140" max="16384" width="9.140625" style="38"/>
  </cols>
  <sheetData>
    <row r="1" spans="1:14" x14ac:dyDescent="0.3">
      <c r="A1" s="526" t="s">
        <v>0</v>
      </c>
      <c r="B1" s="526"/>
      <c r="C1" s="526"/>
      <c r="D1" s="526"/>
      <c r="E1" s="526"/>
      <c r="F1" s="526"/>
      <c r="G1" s="526"/>
      <c r="H1" s="526"/>
      <c r="I1" s="526"/>
      <c r="J1" s="526"/>
      <c r="K1" s="526"/>
    </row>
    <row r="2" spans="1:14" x14ac:dyDescent="0.3">
      <c r="A2" s="526" t="s">
        <v>1</v>
      </c>
      <c r="B2" s="526"/>
      <c r="C2" s="526"/>
      <c r="D2" s="526"/>
      <c r="E2" s="526"/>
      <c r="F2" s="526"/>
      <c r="G2" s="526"/>
      <c r="H2" s="526"/>
      <c r="I2" s="526"/>
      <c r="J2" s="526"/>
      <c r="K2" s="526"/>
    </row>
    <row r="3" spans="1:14" x14ac:dyDescent="0.3">
      <c r="A3" s="527" t="s">
        <v>563</v>
      </c>
      <c r="B3" s="527"/>
      <c r="C3" s="527"/>
      <c r="D3" s="527"/>
      <c r="E3" s="527"/>
      <c r="F3" s="527"/>
      <c r="G3" s="527"/>
      <c r="H3" s="527"/>
      <c r="I3" s="527"/>
      <c r="J3" s="527"/>
      <c r="K3" s="527"/>
    </row>
    <row r="4" spans="1:14" x14ac:dyDescent="0.3">
      <c r="A4" s="528" t="str">
        <f>'tb control'!A4:E4</f>
        <v>Fund Cluster 1</v>
      </c>
      <c r="B4" s="528"/>
      <c r="C4" s="528"/>
      <c r="D4" s="528"/>
      <c r="E4" s="528"/>
      <c r="F4" s="528"/>
      <c r="G4" s="528"/>
      <c r="H4" s="528"/>
      <c r="I4" s="528"/>
      <c r="J4" s="528"/>
      <c r="K4" s="528"/>
    </row>
    <row r="5" spans="1:14" x14ac:dyDescent="0.3">
      <c r="A5" s="529" t="str">
        <f>'tb control'!A5:E5</f>
        <v>As at December 31, 2024</v>
      </c>
      <c r="B5" s="529"/>
      <c r="C5" s="529"/>
      <c r="D5" s="529"/>
      <c r="E5" s="529"/>
      <c r="F5" s="529"/>
      <c r="G5" s="529"/>
      <c r="H5" s="529"/>
      <c r="I5" s="529"/>
      <c r="J5" s="529"/>
      <c r="K5" s="529"/>
    </row>
    <row r="6" spans="1:14" x14ac:dyDescent="0.3">
      <c r="A6" s="8"/>
      <c r="B6" s="45"/>
      <c r="C6" s="45"/>
      <c r="D6" s="8"/>
      <c r="E6" s="8"/>
      <c r="F6" s="8"/>
      <c r="G6" s="512"/>
      <c r="H6" s="8"/>
      <c r="I6" s="9"/>
      <c r="J6" s="9"/>
      <c r="K6" s="37"/>
    </row>
    <row r="7" spans="1:14" x14ac:dyDescent="0.3">
      <c r="A7" s="8"/>
      <c r="B7" s="45"/>
      <c r="C7" s="45"/>
      <c r="D7" s="8"/>
      <c r="E7" s="8"/>
      <c r="F7" s="8"/>
      <c r="G7" s="512"/>
      <c r="H7" s="8"/>
      <c r="I7" s="9"/>
      <c r="J7" s="9"/>
      <c r="K7" s="37"/>
    </row>
    <row r="8" spans="1:14" x14ac:dyDescent="0.3">
      <c r="A8" s="13" t="s">
        <v>292</v>
      </c>
      <c r="B8" s="18"/>
      <c r="C8" s="18"/>
      <c r="D8" s="62"/>
      <c r="E8" s="62"/>
      <c r="F8" s="62"/>
      <c r="G8" s="62"/>
      <c r="H8" s="62"/>
      <c r="I8" s="62"/>
      <c r="J8" s="2"/>
      <c r="K8" s="37"/>
    </row>
    <row r="9" spans="1:14" ht="33" x14ac:dyDescent="0.3">
      <c r="A9" s="16"/>
      <c r="B9" s="18"/>
      <c r="C9" s="18"/>
      <c r="D9" s="14"/>
      <c r="E9" s="14"/>
      <c r="F9" s="14"/>
      <c r="G9" s="47" t="s">
        <v>424</v>
      </c>
      <c r="H9" s="14"/>
      <c r="I9" s="79" t="s">
        <v>515</v>
      </c>
      <c r="J9" s="63"/>
      <c r="K9" s="151" t="s">
        <v>526</v>
      </c>
    </row>
    <row r="10" spans="1:14" x14ac:dyDescent="0.3">
      <c r="A10" s="13" t="s">
        <v>184</v>
      </c>
      <c r="B10" s="18"/>
      <c r="C10" s="18"/>
      <c r="D10" s="14"/>
      <c r="E10" s="14"/>
      <c r="F10" s="14"/>
      <c r="G10" s="14"/>
      <c r="H10" s="14"/>
      <c r="I10" s="2"/>
      <c r="J10" s="2"/>
      <c r="K10" s="37"/>
    </row>
    <row r="11" spans="1:14" x14ac:dyDescent="0.3">
      <c r="A11" s="16"/>
      <c r="B11" s="18" t="s">
        <v>248</v>
      </c>
      <c r="C11" s="18"/>
      <c r="D11" s="18"/>
      <c r="E11" s="18"/>
      <c r="F11" s="18"/>
      <c r="G11" s="30" t="s">
        <v>425</v>
      </c>
      <c r="H11" s="64" t="s">
        <v>182</v>
      </c>
      <c r="I11" s="4">
        <f>FC1SFP!I11</f>
        <v>23902641.68</v>
      </c>
      <c r="J11" s="4" t="s">
        <v>182</v>
      </c>
      <c r="K11" s="37">
        <f>FC1SFP!M11</f>
        <v>45119103.609999999</v>
      </c>
    </row>
    <row r="12" spans="1:14" x14ac:dyDescent="0.3">
      <c r="A12" s="16"/>
      <c r="B12" s="18" t="s">
        <v>185</v>
      </c>
      <c r="C12" s="18"/>
      <c r="D12" s="14"/>
      <c r="E12" s="14"/>
      <c r="F12" s="14"/>
      <c r="G12" s="30" t="s">
        <v>426</v>
      </c>
      <c r="H12" s="14"/>
      <c r="I12" s="2">
        <f>FC1SFP!I31</f>
        <v>420780581.86000001</v>
      </c>
      <c r="J12" s="2"/>
      <c r="K12" s="37">
        <f>FC1SFP!M31</f>
        <v>204422635.35000008</v>
      </c>
    </row>
    <row r="13" spans="1:14" x14ac:dyDescent="0.3">
      <c r="A13" s="16"/>
      <c r="B13" s="18" t="s">
        <v>186</v>
      </c>
      <c r="C13" s="18"/>
      <c r="D13" s="14"/>
      <c r="E13" s="14"/>
      <c r="F13" s="14"/>
      <c r="G13" s="30" t="s">
        <v>429</v>
      </c>
      <c r="H13" s="55"/>
      <c r="I13" s="4">
        <f>FC1SFP!I51</f>
        <v>218928274.36000001</v>
      </c>
      <c r="J13" s="4"/>
      <c r="K13" s="37">
        <f>FC1SFP!M51</f>
        <v>53402117.919999994</v>
      </c>
    </row>
    <row r="14" spans="1:14" x14ac:dyDescent="0.3">
      <c r="A14" s="16"/>
      <c r="B14" s="18" t="s">
        <v>275</v>
      </c>
      <c r="C14" s="18"/>
      <c r="D14" s="14"/>
      <c r="E14" s="14"/>
      <c r="F14" s="14"/>
      <c r="G14" s="521" t="s">
        <v>430</v>
      </c>
      <c r="H14" s="78"/>
      <c r="I14" s="5">
        <f>FC1SFP!I80</f>
        <v>22881091.139999997</v>
      </c>
      <c r="J14" s="4"/>
      <c r="K14" s="37">
        <f>FC1SFP!M80</f>
        <v>4086138.9108333644</v>
      </c>
    </row>
    <row r="15" spans="1:14" x14ac:dyDescent="0.3">
      <c r="A15" s="16"/>
      <c r="B15" s="18"/>
      <c r="C15" s="18"/>
      <c r="D15" s="14"/>
      <c r="E15" s="14"/>
      <c r="F15" s="14"/>
      <c r="G15" s="512"/>
      <c r="H15" s="78"/>
      <c r="I15" s="3">
        <f>SUM(I11:I14)</f>
        <v>686492589.04000008</v>
      </c>
      <c r="J15" s="4"/>
      <c r="K15" s="65">
        <f>SUM(K11:K14)</f>
        <v>307029995.79083347</v>
      </c>
      <c r="N15" s="42">
        <f>I15-FC1SFP!I97</f>
        <v>0</v>
      </c>
    </row>
    <row r="16" spans="1:14" hidden="1" x14ac:dyDescent="0.3">
      <c r="A16" s="16"/>
      <c r="B16" s="18"/>
      <c r="C16" s="18"/>
      <c r="D16" s="16"/>
      <c r="E16" s="16"/>
      <c r="F16" s="16"/>
      <c r="G16" s="47"/>
      <c r="H16" s="14"/>
      <c r="I16" s="4">
        <f>I15-FC1SFP!I97</f>
        <v>0</v>
      </c>
      <c r="J16" s="4"/>
      <c r="K16" s="4">
        <f>K15-FC1SFP!M97</f>
        <v>0</v>
      </c>
    </row>
    <row r="17" spans="1:14" x14ac:dyDescent="0.3">
      <c r="A17" s="13" t="s">
        <v>245</v>
      </c>
      <c r="B17" s="18"/>
      <c r="C17" s="18"/>
      <c r="D17" s="14"/>
      <c r="E17" s="14"/>
      <c r="F17" s="14"/>
      <c r="G17" s="47"/>
      <c r="H17" s="14"/>
      <c r="I17" s="2"/>
      <c r="J17" s="4"/>
      <c r="K17" s="37"/>
    </row>
    <row r="18" spans="1:14" x14ac:dyDescent="0.3">
      <c r="A18" s="16"/>
      <c r="B18" s="18" t="s">
        <v>339</v>
      </c>
      <c r="C18" s="18"/>
      <c r="D18" s="14"/>
      <c r="E18" s="14"/>
      <c r="F18" s="14"/>
      <c r="G18" s="30" t="s">
        <v>431</v>
      </c>
      <c r="H18" s="14"/>
      <c r="I18" s="66">
        <f>FC1SFP!I103</f>
        <v>260345811.27999997</v>
      </c>
      <c r="J18" s="4"/>
      <c r="K18" s="37">
        <f>FC1SFP!M103</f>
        <v>168915375.20000002</v>
      </c>
    </row>
    <row r="19" spans="1:14" hidden="1" x14ac:dyDescent="0.3">
      <c r="A19" s="16"/>
      <c r="B19" s="18" t="s">
        <v>244</v>
      </c>
      <c r="C19" s="18"/>
      <c r="D19" s="14"/>
      <c r="E19" s="14"/>
      <c r="F19" s="14"/>
      <c r="G19" s="522">
        <v>10.1</v>
      </c>
      <c r="H19" s="14"/>
      <c r="I19" s="66"/>
      <c r="J19" s="4"/>
      <c r="K19" s="37">
        <f>FC1SFP!M168</f>
        <v>55364115.810000002</v>
      </c>
    </row>
    <row r="20" spans="1:14" hidden="1" x14ac:dyDescent="0.3">
      <c r="A20" s="16"/>
      <c r="B20" s="18" t="s">
        <v>420</v>
      </c>
      <c r="C20" s="18"/>
      <c r="D20" s="14"/>
      <c r="E20" s="14"/>
      <c r="F20" s="14"/>
      <c r="G20" s="522">
        <v>10.199999999999999</v>
      </c>
      <c r="H20" s="14"/>
      <c r="I20" s="66"/>
      <c r="J20" s="4"/>
      <c r="K20" s="37">
        <f>FC1SFP!M171</f>
        <v>98362.5</v>
      </c>
    </row>
    <row r="21" spans="1:14" x14ac:dyDescent="0.3">
      <c r="A21" s="16"/>
      <c r="B21" s="18" t="s">
        <v>356</v>
      </c>
      <c r="C21" s="18"/>
      <c r="D21" s="14"/>
      <c r="E21" s="14"/>
      <c r="F21" s="14"/>
      <c r="G21" s="30" t="s">
        <v>435</v>
      </c>
      <c r="H21" s="14"/>
      <c r="I21" s="67">
        <f>FC1SFP!I176</f>
        <v>902692.24</v>
      </c>
      <c r="J21" s="4"/>
      <c r="K21" s="37">
        <f>FC1SFP!M176</f>
        <v>997450</v>
      </c>
    </row>
    <row r="22" spans="1:14" x14ac:dyDescent="0.3">
      <c r="A22" s="16"/>
      <c r="B22" s="18"/>
      <c r="C22" s="18"/>
      <c r="D22" s="16"/>
      <c r="E22" s="16"/>
      <c r="F22" s="16"/>
      <c r="G22" s="47"/>
      <c r="H22" s="14"/>
      <c r="I22" s="3">
        <f>SUM(I18:I21)</f>
        <v>261248503.51999998</v>
      </c>
      <c r="J22" s="4"/>
      <c r="K22" s="65">
        <f>SUM(K18:K21)</f>
        <v>225375303.51000002</v>
      </c>
      <c r="M22" s="42">
        <f>I22-FC1SFP!I182</f>
        <v>0</v>
      </c>
    </row>
    <row r="23" spans="1:14" x14ac:dyDescent="0.3">
      <c r="A23" s="16"/>
      <c r="B23" s="18"/>
      <c r="C23" s="18"/>
      <c r="D23" s="16"/>
      <c r="E23" s="16"/>
      <c r="F23" s="16"/>
      <c r="G23" s="47"/>
      <c r="H23" s="14"/>
      <c r="I23" s="4">
        <f>I22-FC1SFP!I182</f>
        <v>0</v>
      </c>
      <c r="J23" s="4"/>
      <c r="K23" s="37"/>
    </row>
    <row r="24" spans="1:14" x14ac:dyDescent="0.3">
      <c r="A24" s="13" t="s">
        <v>207</v>
      </c>
      <c r="B24" s="18"/>
      <c r="C24" s="18"/>
      <c r="D24" s="14"/>
      <c r="E24" s="14"/>
      <c r="F24" s="14"/>
      <c r="G24" s="47"/>
      <c r="H24" s="14"/>
      <c r="I24" s="2"/>
      <c r="J24" s="4"/>
      <c r="K24" s="37"/>
    </row>
    <row r="25" spans="1:14" ht="8.1" customHeight="1" x14ac:dyDescent="0.3">
      <c r="A25" s="16"/>
      <c r="B25" s="18"/>
      <c r="C25" s="18"/>
      <c r="D25" s="14"/>
      <c r="E25" s="14"/>
      <c r="F25" s="14"/>
      <c r="G25" s="47"/>
      <c r="H25" s="14"/>
      <c r="I25" s="2"/>
      <c r="J25" s="4"/>
      <c r="K25" s="37"/>
    </row>
    <row r="26" spans="1:14" x14ac:dyDescent="0.3">
      <c r="A26" s="16"/>
      <c r="B26" s="18"/>
      <c r="C26" s="18"/>
      <c r="D26" s="32" t="s">
        <v>340</v>
      </c>
      <c r="E26" s="14"/>
      <c r="F26" s="14"/>
      <c r="G26" s="47"/>
      <c r="H26" s="14"/>
      <c r="I26" s="5">
        <f>SUM(I22,I15)</f>
        <v>947741092.56000006</v>
      </c>
      <c r="J26" s="49"/>
      <c r="K26" s="68">
        <f>SUM(K22,K15)</f>
        <v>532405299.30083346</v>
      </c>
      <c r="M26" s="42">
        <f>K26-FC1SFP!M184</f>
        <v>0</v>
      </c>
    </row>
    <row r="27" spans="1:14" hidden="1" x14ac:dyDescent="0.3">
      <c r="A27" s="16"/>
      <c r="B27" s="18"/>
      <c r="C27" s="18"/>
      <c r="D27" s="14"/>
      <c r="E27" s="14"/>
      <c r="F27" s="14"/>
      <c r="G27" s="47"/>
      <c r="H27" s="14"/>
      <c r="I27" s="2">
        <f>I26-FC1SFP!I184</f>
        <v>0</v>
      </c>
      <c r="J27" s="4"/>
      <c r="K27" s="37"/>
      <c r="N27" s="42"/>
    </row>
    <row r="28" spans="1:14" x14ac:dyDescent="0.3">
      <c r="A28" s="16"/>
      <c r="B28" s="18"/>
      <c r="C28" s="18"/>
      <c r="D28" s="14"/>
      <c r="E28" s="14"/>
      <c r="F28" s="14"/>
      <c r="G28" s="47"/>
      <c r="H28" s="14"/>
      <c r="I28" s="2"/>
      <c r="J28" s="4"/>
      <c r="K28" s="37"/>
    </row>
    <row r="29" spans="1:14" x14ac:dyDescent="0.3">
      <c r="A29" s="13" t="s">
        <v>192</v>
      </c>
      <c r="B29" s="18"/>
      <c r="C29" s="18"/>
      <c r="D29" s="14"/>
      <c r="E29" s="14"/>
      <c r="F29" s="14"/>
      <c r="G29" s="47"/>
      <c r="H29" s="14"/>
      <c r="I29" s="2"/>
      <c r="J29" s="4"/>
      <c r="K29" s="37"/>
    </row>
    <row r="30" spans="1:14" x14ac:dyDescent="0.3">
      <c r="A30" s="16"/>
      <c r="B30" s="18" t="s">
        <v>193</v>
      </c>
      <c r="C30" s="18"/>
      <c r="D30" s="14"/>
      <c r="E30" s="14"/>
      <c r="F30" s="14"/>
      <c r="G30" s="47"/>
      <c r="H30" s="16"/>
      <c r="I30" s="2"/>
      <c r="J30" s="4"/>
      <c r="K30" s="37"/>
    </row>
    <row r="31" spans="1:14" x14ac:dyDescent="0.3">
      <c r="A31" s="16"/>
      <c r="B31" s="18"/>
      <c r="C31" s="18" t="s">
        <v>281</v>
      </c>
      <c r="D31" s="14"/>
      <c r="E31" s="14"/>
      <c r="F31" s="14"/>
      <c r="G31" s="30" t="s">
        <v>434</v>
      </c>
      <c r="H31" s="16"/>
      <c r="I31" s="2">
        <f>FC1SFP!I191</f>
        <v>185076830.27000001</v>
      </c>
      <c r="J31" s="2"/>
      <c r="K31" s="37">
        <f>FC1SFP!M191</f>
        <v>386917749.44999999</v>
      </c>
    </row>
    <row r="32" spans="1:14" x14ac:dyDescent="0.3">
      <c r="A32" s="16"/>
      <c r="B32" s="18"/>
      <c r="C32" s="18" t="s">
        <v>220</v>
      </c>
      <c r="D32" s="14"/>
      <c r="E32" s="14"/>
      <c r="F32" s="14"/>
      <c r="G32" s="30" t="s">
        <v>509</v>
      </c>
      <c r="H32" s="16"/>
      <c r="I32" s="2">
        <f>FC1SFP!I196</f>
        <v>6260372.3499999996</v>
      </c>
      <c r="J32" s="2"/>
      <c r="K32" s="37">
        <f>FC1SFP!M196</f>
        <v>5410105.3399999999</v>
      </c>
    </row>
    <row r="33" spans="1:11" x14ac:dyDescent="0.3">
      <c r="A33" s="16"/>
      <c r="B33" s="18"/>
      <c r="C33" s="18" t="s">
        <v>283</v>
      </c>
      <c r="D33" s="14"/>
      <c r="E33" s="14"/>
      <c r="F33" s="14"/>
      <c r="G33" s="30" t="s">
        <v>436</v>
      </c>
      <c r="H33" s="16"/>
      <c r="I33" s="2">
        <f>FC1SFP!I199</f>
        <v>16692649.529999999</v>
      </c>
      <c r="J33" s="2"/>
      <c r="K33" s="37">
        <f>FC1SFP!M199</f>
        <v>17898353.34</v>
      </c>
    </row>
    <row r="34" spans="1:11" hidden="1" x14ac:dyDescent="0.3">
      <c r="A34" s="16"/>
      <c r="B34" s="18"/>
      <c r="C34" s="18" t="s">
        <v>284</v>
      </c>
      <c r="D34" s="14"/>
      <c r="E34" s="14"/>
      <c r="F34" s="14"/>
      <c r="G34" s="47"/>
      <c r="H34" s="16"/>
      <c r="I34" s="37">
        <f>FC1SFP!I215</f>
        <v>0</v>
      </c>
      <c r="J34" s="2"/>
      <c r="K34" s="37">
        <f>FC1SFP!M215</f>
        <v>0</v>
      </c>
    </row>
    <row r="35" spans="1:11" hidden="1" x14ac:dyDescent="0.3">
      <c r="A35" s="16"/>
      <c r="B35" s="18"/>
      <c r="C35" s="18" t="s">
        <v>220</v>
      </c>
      <c r="D35" s="14"/>
      <c r="E35" s="14"/>
      <c r="F35" s="14"/>
      <c r="G35" s="47"/>
      <c r="H35" s="16"/>
      <c r="I35" s="2">
        <f>FC1SFP!I221</f>
        <v>0</v>
      </c>
      <c r="J35" s="2"/>
      <c r="K35" s="37"/>
    </row>
    <row r="36" spans="1:11" x14ac:dyDescent="0.3">
      <c r="A36" s="16"/>
      <c r="B36" s="18"/>
      <c r="C36" s="18" t="s">
        <v>37</v>
      </c>
      <c r="D36" s="14"/>
      <c r="E36" s="14"/>
      <c r="F36" s="14"/>
      <c r="G36" s="30" t="s">
        <v>566</v>
      </c>
      <c r="H36" s="16"/>
      <c r="I36" s="5">
        <f>FC1SFP!I224</f>
        <v>9478182.8800000008</v>
      </c>
      <c r="J36" s="2"/>
      <c r="K36" s="68">
        <f>FC1SFP!M224</f>
        <v>7335320.1699999999</v>
      </c>
    </row>
    <row r="37" spans="1:11" x14ac:dyDescent="0.3">
      <c r="A37" s="16"/>
      <c r="B37" s="18"/>
      <c r="C37" s="18"/>
      <c r="D37" s="14"/>
      <c r="E37" s="14"/>
      <c r="F37" s="14"/>
      <c r="G37" s="47"/>
      <c r="H37" s="16"/>
      <c r="I37" s="2"/>
      <c r="J37" s="2"/>
      <c r="K37" s="37"/>
    </row>
    <row r="38" spans="1:11" x14ac:dyDescent="0.3">
      <c r="A38" s="16"/>
      <c r="B38" s="18"/>
      <c r="C38" s="18" t="s">
        <v>289</v>
      </c>
      <c r="D38" s="14"/>
      <c r="E38" s="14"/>
      <c r="F38" s="14"/>
      <c r="G38" s="47"/>
      <c r="H38" s="16"/>
      <c r="I38" s="5">
        <f>SUM(I31:I36)</f>
        <v>217508035.03</v>
      </c>
      <c r="J38" s="2"/>
      <c r="K38" s="68">
        <f>SUM(K31:K36)</f>
        <v>417561528.29999995</v>
      </c>
    </row>
    <row r="39" spans="1:11" x14ac:dyDescent="0.3">
      <c r="A39" s="16"/>
      <c r="B39" s="18"/>
      <c r="C39" s="18"/>
      <c r="D39" s="14"/>
      <c r="E39" s="14"/>
      <c r="F39" s="14"/>
      <c r="G39" s="47"/>
      <c r="H39" s="16"/>
      <c r="I39" s="2"/>
      <c r="J39" s="2"/>
      <c r="K39" s="37"/>
    </row>
    <row r="40" spans="1:11" x14ac:dyDescent="0.3">
      <c r="A40" s="16"/>
      <c r="B40" s="18" t="s">
        <v>246</v>
      </c>
      <c r="C40" s="18"/>
      <c r="D40" s="14"/>
      <c r="E40" s="14"/>
      <c r="F40" s="14"/>
      <c r="G40" s="14"/>
      <c r="H40" s="16"/>
      <c r="I40" s="16"/>
      <c r="J40" s="2"/>
      <c r="K40" s="37"/>
    </row>
    <row r="41" spans="1:11" x14ac:dyDescent="0.3">
      <c r="A41" s="16"/>
      <c r="B41" s="18"/>
      <c r="C41" s="18"/>
      <c r="D41" s="14"/>
      <c r="E41" s="14"/>
      <c r="F41" s="14"/>
      <c r="G41" s="14"/>
      <c r="H41" s="16"/>
      <c r="I41" s="16"/>
      <c r="J41" s="2"/>
      <c r="K41" s="37"/>
    </row>
    <row r="42" spans="1:11" x14ac:dyDescent="0.3">
      <c r="A42" s="16"/>
      <c r="B42" s="18" t="s">
        <v>285</v>
      </c>
      <c r="C42" s="18"/>
      <c r="D42" s="14"/>
      <c r="E42" s="14"/>
      <c r="F42" s="14"/>
      <c r="G42" s="14"/>
      <c r="H42" s="16"/>
      <c r="I42" s="69">
        <f>I38-I40</f>
        <v>217508035.03</v>
      </c>
      <c r="J42" s="4"/>
      <c r="K42" s="68">
        <f>K38-K40</f>
        <v>417561528.29999995</v>
      </c>
    </row>
    <row r="43" spans="1:11" x14ac:dyDescent="0.3">
      <c r="A43" s="16"/>
      <c r="B43" s="18"/>
      <c r="C43" s="18"/>
      <c r="D43" s="14"/>
      <c r="E43" s="14"/>
      <c r="F43" s="14"/>
      <c r="G43" s="14"/>
      <c r="H43" s="16"/>
      <c r="I43" s="70"/>
      <c r="J43" s="4"/>
      <c r="K43" s="37"/>
    </row>
    <row r="44" spans="1:11" ht="17.25" thickBot="1" x14ac:dyDescent="0.35">
      <c r="A44" s="29"/>
      <c r="B44" s="18"/>
      <c r="C44" s="13" t="s">
        <v>290</v>
      </c>
      <c r="D44" s="14"/>
      <c r="E44" s="14"/>
      <c r="F44" s="14"/>
      <c r="G44" s="14"/>
      <c r="H44" s="16"/>
      <c r="I44" s="71">
        <f>I26-I42</f>
        <v>730233057.53000009</v>
      </c>
      <c r="J44" s="70"/>
      <c r="K44" s="71">
        <f t="shared" ref="K44" si="0">K26-K42</f>
        <v>114843771.00083351</v>
      </c>
    </row>
    <row r="45" spans="1:11" ht="17.25" thickTop="1" x14ac:dyDescent="0.3">
      <c r="A45" s="16"/>
      <c r="B45" s="29"/>
      <c r="C45" s="29"/>
      <c r="D45" s="14"/>
      <c r="E45" s="14"/>
      <c r="F45" s="14"/>
      <c r="G45" s="14"/>
      <c r="H45" s="16"/>
      <c r="I45" s="36"/>
      <c r="J45" s="4"/>
      <c r="K45" s="37"/>
    </row>
    <row r="46" spans="1:11" x14ac:dyDescent="0.3">
      <c r="A46" s="16"/>
      <c r="B46" s="29"/>
      <c r="C46" s="29"/>
      <c r="D46" s="14"/>
      <c r="E46" s="14"/>
      <c r="F46" s="25"/>
      <c r="G46" s="25"/>
      <c r="H46" s="14"/>
      <c r="I46" s="72"/>
      <c r="J46" s="4"/>
      <c r="K46" s="37"/>
    </row>
    <row r="47" spans="1:11" x14ac:dyDescent="0.3">
      <c r="A47" s="13" t="s">
        <v>247</v>
      </c>
      <c r="B47" s="18"/>
      <c r="C47" s="18"/>
      <c r="D47" s="14"/>
      <c r="E47" s="14"/>
      <c r="F47" s="14"/>
      <c r="G47" s="14"/>
      <c r="H47" s="14"/>
      <c r="I47" s="72"/>
      <c r="J47" s="4"/>
      <c r="K47" s="37"/>
    </row>
    <row r="48" spans="1:11" x14ac:dyDescent="0.3">
      <c r="A48" s="16"/>
      <c r="B48" s="16" t="s">
        <v>243</v>
      </c>
      <c r="C48" s="16"/>
      <c r="D48" s="14"/>
      <c r="E48" s="14"/>
      <c r="F48" s="14"/>
      <c r="G48" s="14"/>
      <c r="H48" s="14"/>
      <c r="I48" s="73">
        <f>'FC1-Post TB 2024'!E122</f>
        <v>730233057.53000236</v>
      </c>
      <c r="J48" s="4"/>
      <c r="K48" s="68">
        <f>FC1SFP!M236</f>
        <v>114843771.00083104</v>
      </c>
    </row>
    <row r="49" spans="1:12" ht="8.1" customHeight="1" x14ac:dyDescent="0.3">
      <c r="A49" s="16"/>
      <c r="B49" s="18"/>
      <c r="C49" s="18"/>
      <c r="D49" s="14"/>
      <c r="E49" s="14"/>
      <c r="F49" s="14"/>
      <c r="G49" s="14"/>
      <c r="H49" s="14"/>
      <c r="I49" s="72"/>
      <c r="J49" s="4"/>
      <c r="K49" s="37"/>
    </row>
    <row r="50" spans="1:12" s="53" customFormat="1" ht="17.25" thickBot="1" x14ac:dyDescent="0.35">
      <c r="A50" s="13"/>
      <c r="B50" s="32"/>
      <c r="C50" s="32"/>
      <c r="D50" s="32" t="s">
        <v>291</v>
      </c>
      <c r="E50" s="47"/>
      <c r="F50" s="47"/>
      <c r="G50" s="47"/>
      <c r="H50" s="47" t="s">
        <v>182</v>
      </c>
      <c r="I50" s="74">
        <f>I48</f>
        <v>730233057.53000236</v>
      </c>
      <c r="J50" s="49" t="s">
        <v>182</v>
      </c>
      <c r="K50" s="75">
        <f>K48</f>
        <v>114843771.00083104</v>
      </c>
    </row>
    <row r="51" spans="1:12" ht="17.25" thickTop="1" x14ac:dyDescent="0.3">
      <c r="A51" s="16"/>
      <c r="B51" s="18"/>
      <c r="C51" s="18"/>
      <c r="D51" s="14"/>
      <c r="E51" s="14"/>
      <c r="F51" s="14"/>
      <c r="G51" s="14"/>
      <c r="H51" s="14"/>
      <c r="I51" s="221">
        <f>I44-I50</f>
        <v>-2.2649765014648438E-6</v>
      </c>
      <c r="J51" s="6"/>
      <c r="K51" s="221">
        <f>K44-K50</f>
        <v>2.4735927581787109E-6</v>
      </c>
      <c r="L51" s="76"/>
    </row>
    <row r="52" spans="1:12" x14ac:dyDescent="0.3">
      <c r="A52" s="29"/>
      <c r="B52" s="29"/>
      <c r="C52" s="29"/>
      <c r="D52" s="29"/>
      <c r="E52" s="29"/>
      <c r="F52" s="29"/>
      <c r="G52" s="29"/>
      <c r="H52" s="29"/>
      <c r="I52" s="77"/>
      <c r="J52" s="29"/>
      <c r="K52" s="37"/>
    </row>
    <row r="53" spans="1:12" x14ac:dyDescent="0.3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37"/>
    </row>
    <row r="54" spans="1:12" x14ac:dyDescent="0.3">
      <c r="A54" s="29"/>
      <c r="B54" s="29"/>
      <c r="C54" s="29"/>
      <c r="D54" s="29"/>
      <c r="E54" s="29"/>
      <c r="F54" s="46" t="s">
        <v>95</v>
      </c>
      <c r="G54" s="4"/>
      <c r="H54" s="2"/>
      <c r="I54" s="29"/>
      <c r="J54" s="29"/>
      <c r="K54" s="37"/>
    </row>
    <row r="55" spans="1:12" x14ac:dyDescent="0.3">
      <c r="A55" s="29"/>
      <c r="B55" s="29"/>
      <c r="C55" s="29"/>
      <c r="D55" s="29"/>
      <c r="E55" s="29"/>
      <c r="F55" s="46"/>
      <c r="G55" s="4"/>
      <c r="H55" s="2"/>
      <c r="I55" s="29"/>
      <c r="J55" s="29"/>
      <c r="K55" s="37"/>
    </row>
    <row r="56" spans="1:12" x14ac:dyDescent="0.3">
      <c r="A56" s="29"/>
      <c r="B56" s="29"/>
      <c r="C56" s="29"/>
      <c r="D56" s="29"/>
      <c r="E56" s="29"/>
      <c r="F56" s="50"/>
      <c r="G56" s="4"/>
      <c r="H56" s="2"/>
      <c r="I56" s="29"/>
      <c r="J56" s="29"/>
      <c r="K56" s="37"/>
    </row>
    <row r="57" spans="1:12" s="53" customFormat="1" x14ac:dyDescent="0.3">
      <c r="A57" s="61"/>
      <c r="B57" s="61"/>
      <c r="C57" s="61"/>
      <c r="D57" s="61"/>
      <c r="E57" s="61"/>
      <c r="F57" s="60"/>
      <c r="G57" s="49"/>
      <c r="H57" s="51" t="s">
        <v>389</v>
      </c>
      <c r="I57" s="61"/>
      <c r="J57" s="61"/>
      <c r="K57" s="59"/>
    </row>
    <row r="58" spans="1:12" x14ac:dyDescent="0.3">
      <c r="A58" s="29"/>
      <c r="B58" s="29"/>
      <c r="C58" s="29"/>
      <c r="D58" s="56"/>
      <c r="E58" s="29"/>
      <c r="F58" s="50"/>
      <c r="G58" s="4"/>
      <c r="H58" s="52" t="s">
        <v>363</v>
      </c>
      <c r="I58" s="29"/>
      <c r="J58" s="29"/>
      <c r="K58" s="37"/>
    </row>
    <row r="59" spans="1:12" x14ac:dyDescent="0.3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37"/>
    </row>
    <row r="60" spans="1:12" x14ac:dyDescent="0.3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37"/>
    </row>
    <row r="61" spans="1:12" x14ac:dyDescent="0.3">
      <c r="A61" s="29"/>
      <c r="B61" s="29"/>
      <c r="C61" s="29"/>
      <c r="D61" s="29"/>
      <c r="E61" s="29"/>
      <c r="F61" s="29"/>
      <c r="G61" s="29"/>
      <c r="H61" s="29"/>
      <c r="I61" s="37">
        <f>I50-FC1SFP!I238</f>
        <v>0</v>
      </c>
      <c r="K61" s="37">
        <f>K50-FC1SFP!M238</f>
        <v>0</v>
      </c>
    </row>
    <row r="62" spans="1:12" x14ac:dyDescent="0.3">
      <c r="A62" s="29"/>
      <c r="B62" s="29"/>
      <c r="C62" s="29"/>
      <c r="D62" s="29"/>
      <c r="E62" s="29"/>
      <c r="F62" s="29"/>
      <c r="G62" s="29"/>
      <c r="H62" s="29"/>
      <c r="I62" s="29"/>
    </row>
    <row r="64" spans="1:12" x14ac:dyDescent="0.3">
      <c r="I64" s="42"/>
      <c r="J64" s="42"/>
    </row>
    <row r="65" spans="9:11" x14ac:dyDescent="0.3">
      <c r="I65" s="42">
        <f>I50-FC1SFP!I238</f>
        <v>0</v>
      </c>
      <c r="J65" s="42"/>
      <c r="K65" s="42">
        <f>K50-FC1SFP!M238</f>
        <v>0</v>
      </c>
    </row>
  </sheetData>
  <mergeCells count="5">
    <mergeCell ref="A1:K1"/>
    <mergeCell ref="A2:K2"/>
    <mergeCell ref="A3:K3"/>
    <mergeCell ref="A4:K4"/>
    <mergeCell ref="A5:K5"/>
  </mergeCells>
  <printOptions horizontalCentered="1"/>
  <pageMargins left="0.7" right="0.7" top="0.75" bottom="0.75" header="0.3" footer="0.3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298"/>
  <sheetViews>
    <sheetView view="pageBreakPreview" zoomScaleNormal="90" zoomScaleSheetLayoutView="100" workbookViewId="0">
      <pane xSplit="8" ySplit="8" topLeftCell="I277" activePane="bottomRight" state="frozen"/>
      <selection activeCell="N15" sqref="N15"/>
      <selection pane="topRight" activeCell="N15" sqref="N15"/>
      <selection pane="bottomLeft" activeCell="N15" sqref="N15"/>
      <selection pane="bottomRight" activeCell="I115" sqref="I115"/>
    </sheetView>
  </sheetViews>
  <sheetFormatPr defaultRowHeight="16.5" x14ac:dyDescent="0.3"/>
  <cols>
    <col min="1" max="3" width="5.140625" style="16" customWidth="1"/>
    <col min="4" max="4" width="30.7109375" style="14" customWidth="1"/>
    <col min="5" max="5" width="20.7109375" style="229" customWidth="1"/>
    <col min="6" max="6" width="10.5703125" style="312" customWidth="1"/>
    <col min="7" max="7" width="15.5703125" style="469" hidden="1" customWidth="1"/>
    <col min="8" max="8" width="3.140625" style="470" customWidth="1"/>
    <col min="9" max="9" width="21.7109375" style="6" customWidth="1"/>
    <col min="10" max="10" width="1.85546875" style="2" customWidth="1"/>
    <col min="11" max="11" width="2.5703125" style="15" customWidth="1"/>
    <col min="12" max="13" width="22.85546875" style="15" customWidth="1"/>
    <col min="14" max="14" width="17.85546875" style="37" customWidth="1"/>
    <col min="15" max="15" width="16.28515625" style="238" hidden="1" customWidth="1"/>
    <col min="16" max="16" width="15.42578125" style="239" hidden="1" customWidth="1"/>
    <col min="17" max="17" width="17.42578125" style="239" hidden="1" customWidth="1"/>
    <col min="18" max="18" width="15" style="239" hidden="1" customWidth="1"/>
    <col min="19" max="19" width="14.5703125" style="238" hidden="1" customWidth="1"/>
    <col min="20" max="20" width="13" style="239" hidden="1" customWidth="1"/>
    <col min="21" max="21" width="18.28515625" style="239" hidden="1" customWidth="1"/>
    <col min="22" max="24" width="9.140625" style="238" customWidth="1"/>
    <col min="25" max="261" width="9.140625" style="238"/>
    <col min="262" max="262" width="5.140625" style="238" customWidth="1"/>
    <col min="263" max="263" width="27.42578125" style="238" customWidth="1"/>
    <col min="264" max="264" width="17.140625" style="238" customWidth="1"/>
    <col min="265" max="265" width="7.42578125" style="238" customWidth="1"/>
    <col min="266" max="266" width="14.5703125" style="238" bestFit="1" customWidth="1"/>
    <col min="267" max="267" width="2" style="238" customWidth="1"/>
    <col min="268" max="268" width="2.5703125" style="238" customWidth="1"/>
    <col min="269" max="269" width="16" style="238" bestFit="1" customWidth="1"/>
    <col min="270" max="270" width="16.5703125" style="238" bestFit="1" customWidth="1"/>
    <col min="271" max="517" width="9.140625" style="238"/>
    <col min="518" max="518" width="5.140625" style="238" customWidth="1"/>
    <col min="519" max="519" width="27.42578125" style="238" customWidth="1"/>
    <col min="520" max="520" width="17.140625" style="238" customWidth="1"/>
    <col min="521" max="521" width="7.42578125" style="238" customWidth="1"/>
    <col min="522" max="522" width="14.5703125" style="238" bestFit="1" customWidth="1"/>
    <col min="523" max="523" width="2" style="238" customWidth="1"/>
    <col min="524" max="524" width="2.5703125" style="238" customWidth="1"/>
    <col min="525" max="525" width="16" style="238" bestFit="1" customWidth="1"/>
    <col min="526" max="526" width="16.5703125" style="238" bestFit="1" customWidth="1"/>
    <col min="527" max="773" width="9.140625" style="238"/>
    <col min="774" max="774" width="5.140625" style="238" customWidth="1"/>
    <col min="775" max="775" width="27.42578125" style="238" customWidth="1"/>
    <col min="776" max="776" width="17.140625" style="238" customWidth="1"/>
    <col min="777" max="777" width="7.42578125" style="238" customWidth="1"/>
    <col min="778" max="778" width="14.5703125" style="238" bestFit="1" customWidth="1"/>
    <col min="779" max="779" width="2" style="238" customWidth="1"/>
    <col min="780" max="780" width="2.5703125" style="238" customWidth="1"/>
    <col min="781" max="781" width="16" style="238" bestFit="1" customWidth="1"/>
    <col min="782" max="782" width="16.5703125" style="238" bestFit="1" customWidth="1"/>
    <col min="783" max="1029" width="9.140625" style="238"/>
    <col min="1030" max="1030" width="5.140625" style="238" customWidth="1"/>
    <col min="1031" max="1031" width="27.42578125" style="238" customWidth="1"/>
    <col min="1032" max="1032" width="17.140625" style="238" customWidth="1"/>
    <col min="1033" max="1033" width="7.42578125" style="238" customWidth="1"/>
    <col min="1034" max="1034" width="14.5703125" style="238" bestFit="1" customWidth="1"/>
    <col min="1035" max="1035" width="2" style="238" customWidth="1"/>
    <col min="1036" max="1036" width="2.5703125" style="238" customWidth="1"/>
    <col min="1037" max="1037" width="16" style="238" bestFit="1" customWidth="1"/>
    <col min="1038" max="1038" width="16.5703125" style="238" bestFit="1" customWidth="1"/>
    <col min="1039" max="1285" width="9.140625" style="238"/>
    <col min="1286" max="1286" width="5.140625" style="238" customWidth="1"/>
    <col min="1287" max="1287" width="27.42578125" style="238" customWidth="1"/>
    <col min="1288" max="1288" width="17.140625" style="238" customWidth="1"/>
    <col min="1289" max="1289" width="7.42578125" style="238" customWidth="1"/>
    <col min="1290" max="1290" width="14.5703125" style="238" bestFit="1" customWidth="1"/>
    <col min="1291" max="1291" width="2" style="238" customWidth="1"/>
    <col min="1292" max="1292" width="2.5703125" style="238" customWidth="1"/>
    <col min="1293" max="1293" width="16" style="238" bestFit="1" customWidth="1"/>
    <col min="1294" max="1294" width="16.5703125" style="238" bestFit="1" customWidth="1"/>
    <col min="1295" max="1541" width="9.140625" style="238"/>
    <col min="1542" max="1542" width="5.140625" style="238" customWidth="1"/>
    <col min="1543" max="1543" width="27.42578125" style="238" customWidth="1"/>
    <col min="1544" max="1544" width="17.140625" style="238" customWidth="1"/>
    <col min="1545" max="1545" width="7.42578125" style="238" customWidth="1"/>
    <col min="1546" max="1546" width="14.5703125" style="238" bestFit="1" customWidth="1"/>
    <col min="1547" max="1547" width="2" style="238" customWidth="1"/>
    <col min="1548" max="1548" width="2.5703125" style="238" customWidth="1"/>
    <col min="1549" max="1549" width="16" style="238" bestFit="1" customWidth="1"/>
    <col min="1550" max="1550" width="16.5703125" style="238" bestFit="1" customWidth="1"/>
    <col min="1551" max="1797" width="9.140625" style="238"/>
    <col min="1798" max="1798" width="5.140625" style="238" customWidth="1"/>
    <col min="1799" max="1799" width="27.42578125" style="238" customWidth="1"/>
    <col min="1800" max="1800" width="17.140625" style="238" customWidth="1"/>
    <col min="1801" max="1801" width="7.42578125" style="238" customWidth="1"/>
    <col min="1802" max="1802" width="14.5703125" style="238" bestFit="1" customWidth="1"/>
    <col min="1803" max="1803" width="2" style="238" customWidth="1"/>
    <col min="1804" max="1804" width="2.5703125" style="238" customWidth="1"/>
    <col min="1805" max="1805" width="16" style="238" bestFit="1" customWidth="1"/>
    <col min="1806" max="1806" width="16.5703125" style="238" bestFit="1" customWidth="1"/>
    <col min="1807" max="2053" width="9.140625" style="238"/>
    <col min="2054" max="2054" width="5.140625" style="238" customWidth="1"/>
    <col min="2055" max="2055" width="27.42578125" style="238" customWidth="1"/>
    <col min="2056" max="2056" width="17.140625" style="238" customWidth="1"/>
    <col min="2057" max="2057" width="7.42578125" style="238" customWidth="1"/>
    <col min="2058" max="2058" width="14.5703125" style="238" bestFit="1" customWidth="1"/>
    <col min="2059" max="2059" width="2" style="238" customWidth="1"/>
    <col min="2060" max="2060" width="2.5703125" style="238" customWidth="1"/>
    <col min="2061" max="2061" width="16" style="238" bestFit="1" customWidth="1"/>
    <col min="2062" max="2062" width="16.5703125" style="238" bestFit="1" customWidth="1"/>
    <col min="2063" max="2309" width="9.140625" style="238"/>
    <col min="2310" max="2310" width="5.140625" style="238" customWidth="1"/>
    <col min="2311" max="2311" width="27.42578125" style="238" customWidth="1"/>
    <col min="2312" max="2312" width="17.140625" style="238" customWidth="1"/>
    <col min="2313" max="2313" width="7.42578125" style="238" customWidth="1"/>
    <col min="2314" max="2314" width="14.5703125" style="238" bestFit="1" customWidth="1"/>
    <col min="2315" max="2315" width="2" style="238" customWidth="1"/>
    <col min="2316" max="2316" width="2.5703125" style="238" customWidth="1"/>
    <col min="2317" max="2317" width="16" style="238" bestFit="1" customWidth="1"/>
    <col min="2318" max="2318" width="16.5703125" style="238" bestFit="1" customWidth="1"/>
    <col min="2319" max="2565" width="9.140625" style="238"/>
    <col min="2566" max="2566" width="5.140625" style="238" customWidth="1"/>
    <col min="2567" max="2567" width="27.42578125" style="238" customWidth="1"/>
    <col min="2568" max="2568" width="17.140625" style="238" customWidth="1"/>
    <col min="2569" max="2569" width="7.42578125" style="238" customWidth="1"/>
    <col min="2570" max="2570" width="14.5703125" style="238" bestFit="1" customWidth="1"/>
    <col min="2571" max="2571" width="2" style="238" customWidth="1"/>
    <col min="2572" max="2572" width="2.5703125" style="238" customWidth="1"/>
    <col min="2573" max="2573" width="16" style="238" bestFit="1" customWidth="1"/>
    <col min="2574" max="2574" width="16.5703125" style="238" bestFit="1" customWidth="1"/>
    <col min="2575" max="2821" width="9.140625" style="238"/>
    <col min="2822" max="2822" width="5.140625" style="238" customWidth="1"/>
    <col min="2823" max="2823" width="27.42578125" style="238" customWidth="1"/>
    <col min="2824" max="2824" width="17.140625" style="238" customWidth="1"/>
    <col min="2825" max="2825" width="7.42578125" style="238" customWidth="1"/>
    <col min="2826" max="2826" width="14.5703125" style="238" bestFit="1" customWidth="1"/>
    <col min="2827" max="2827" width="2" style="238" customWidth="1"/>
    <col min="2828" max="2828" width="2.5703125" style="238" customWidth="1"/>
    <col min="2829" max="2829" width="16" style="238" bestFit="1" customWidth="1"/>
    <col min="2830" max="2830" width="16.5703125" style="238" bestFit="1" customWidth="1"/>
    <col min="2831" max="3077" width="9.140625" style="238"/>
    <col min="3078" max="3078" width="5.140625" style="238" customWidth="1"/>
    <col min="3079" max="3079" width="27.42578125" style="238" customWidth="1"/>
    <col min="3080" max="3080" width="17.140625" style="238" customWidth="1"/>
    <col min="3081" max="3081" width="7.42578125" style="238" customWidth="1"/>
    <col min="3082" max="3082" width="14.5703125" style="238" bestFit="1" customWidth="1"/>
    <col min="3083" max="3083" width="2" style="238" customWidth="1"/>
    <col min="3084" max="3084" width="2.5703125" style="238" customWidth="1"/>
    <col min="3085" max="3085" width="16" style="238" bestFit="1" customWidth="1"/>
    <col min="3086" max="3086" width="16.5703125" style="238" bestFit="1" customWidth="1"/>
    <col min="3087" max="3333" width="9.140625" style="238"/>
    <col min="3334" max="3334" width="5.140625" style="238" customWidth="1"/>
    <col min="3335" max="3335" width="27.42578125" style="238" customWidth="1"/>
    <col min="3336" max="3336" width="17.140625" style="238" customWidth="1"/>
    <col min="3337" max="3337" width="7.42578125" style="238" customWidth="1"/>
    <col min="3338" max="3338" width="14.5703125" style="238" bestFit="1" customWidth="1"/>
    <col min="3339" max="3339" width="2" style="238" customWidth="1"/>
    <col min="3340" max="3340" width="2.5703125" style="238" customWidth="1"/>
    <col min="3341" max="3341" width="16" style="238" bestFit="1" customWidth="1"/>
    <col min="3342" max="3342" width="16.5703125" style="238" bestFit="1" customWidth="1"/>
    <col min="3343" max="3589" width="9.140625" style="238"/>
    <col min="3590" max="3590" width="5.140625" style="238" customWidth="1"/>
    <col min="3591" max="3591" width="27.42578125" style="238" customWidth="1"/>
    <col min="3592" max="3592" width="17.140625" style="238" customWidth="1"/>
    <col min="3593" max="3593" width="7.42578125" style="238" customWidth="1"/>
    <col min="3594" max="3594" width="14.5703125" style="238" bestFit="1" customWidth="1"/>
    <col min="3595" max="3595" width="2" style="238" customWidth="1"/>
    <col min="3596" max="3596" width="2.5703125" style="238" customWidth="1"/>
    <col min="3597" max="3597" width="16" style="238" bestFit="1" customWidth="1"/>
    <col min="3598" max="3598" width="16.5703125" style="238" bestFit="1" customWidth="1"/>
    <col min="3599" max="3845" width="9.140625" style="238"/>
    <col min="3846" max="3846" width="5.140625" style="238" customWidth="1"/>
    <col min="3847" max="3847" width="27.42578125" style="238" customWidth="1"/>
    <col min="3848" max="3848" width="17.140625" style="238" customWidth="1"/>
    <col min="3849" max="3849" width="7.42578125" style="238" customWidth="1"/>
    <col min="3850" max="3850" width="14.5703125" style="238" bestFit="1" customWidth="1"/>
    <col min="3851" max="3851" width="2" style="238" customWidth="1"/>
    <col min="3852" max="3852" width="2.5703125" style="238" customWidth="1"/>
    <col min="3853" max="3853" width="16" style="238" bestFit="1" customWidth="1"/>
    <col min="3854" max="3854" width="16.5703125" style="238" bestFit="1" customWidth="1"/>
    <col min="3855" max="4101" width="9.140625" style="238"/>
    <col min="4102" max="4102" width="5.140625" style="238" customWidth="1"/>
    <col min="4103" max="4103" width="27.42578125" style="238" customWidth="1"/>
    <col min="4104" max="4104" width="17.140625" style="238" customWidth="1"/>
    <col min="4105" max="4105" width="7.42578125" style="238" customWidth="1"/>
    <col min="4106" max="4106" width="14.5703125" style="238" bestFit="1" customWidth="1"/>
    <col min="4107" max="4107" width="2" style="238" customWidth="1"/>
    <col min="4108" max="4108" width="2.5703125" style="238" customWidth="1"/>
    <col min="4109" max="4109" width="16" style="238" bestFit="1" customWidth="1"/>
    <col min="4110" max="4110" width="16.5703125" style="238" bestFit="1" customWidth="1"/>
    <col min="4111" max="4357" width="9.140625" style="238"/>
    <col min="4358" max="4358" width="5.140625" style="238" customWidth="1"/>
    <col min="4359" max="4359" width="27.42578125" style="238" customWidth="1"/>
    <col min="4360" max="4360" width="17.140625" style="238" customWidth="1"/>
    <col min="4361" max="4361" width="7.42578125" style="238" customWidth="1"/>
    <col min="4362" max="4362" width="14.5703125" style="238" bestFit="1" customWidth="1"/>
    <col min="4363" max="4363" width="2" style="238" customWidth="1"/>
    <col min="4364" max="4364" width="2.5703125" style="238" customWidth="1"/>
    <col min="4365" max="4365" width="16" style="238" bestFit="1" customWidth="1"/>
    <col min="4366" max="4366" width="16.5703125" style="238" bestFit="1" customWidth="1"/>
    <col min="4367" max="4613" width="9.140625" style="238"/>
    <col min="4614" max="4614" width="5.140625" style="238" customWidth="1"/>
    <col min="4615" max="4615" width="27.42578125" style="238" customWidth="1"/>
    <col min="4616" max="4616" width="17.140625" style="238" customWidth="1"/>
    <col min="4617" max="4617" width="7.42578125" style="238" customWidth="1"/>
    <col min="4618" max="4618" width="14.5703125" style="238" bestFit="1" customWidth="1"/>
    <col min="4619" max="4619" width="2" style="238" customWidth="1"/>
    <col min="4620" max="4620" width="2.5703125" style="238" customWidth="1"/>
    <col min="4621" max="4621" width="16" style="238" bestFit="1" customWidth="1"/>
    <col min="4622" max="4622" width="16.5703125" style="238" bestFit="1" customWidth="1"/>
    <col min="4623" max="4869" width="9.140625" style="238"/>
    <col min="4870" max="4870" width="5.140625" style="238" customWidth="1"/>
    <col min="4871" max="4871" width="27.42578125" style="238" customWidth="1"/>
    <col min="4872" max="4872" width="17.140625" style="238" customWidth="1"/>
    <col min="4873" max="4873" width="7.42578125" style="238" customWidth="1"/>
    <col min="4874" max="4874" width="14.5703125" style="238" bestFit="1" customWidth="1"/>
    <col min="4875" max="4875" width="2" style="238" customWidth="1"/>
    <col min="4876" max="4876" width="2.5703125" style="238" customWidth="1"/>
    <col min="4877" max="4877" width="16" style="238" bestFit="1" customWidth="1"/>
    <col min="4878" max="4878" width="16.5703125" style="238" bestFit="1" customWidth="1"/>
    <col min="4879" max="5125" width="9.140625" style="238"/>
    <col min="5126" max="5126" width="5.140625" style="238" customWidth="1"/>
    <col min="5127" max="5127" width="27.42578125" style="238" customWidth="1"/>
    <col min="5128" max="5128" width="17.140625" style="238" customWidth="1"/>
    <col min="5129" max="5129" width="7.42578125" style="238" customWidth="1"/>
    <col min="5130" max="5130" width="14.5703125" style="238" bestFit="1" customWidth="1"/>
    <col min="5131" max="5131" width="2" style="238" customWidth="1"/>
    <col min="5132" max="5132" width="2.5703125" style="238" customWidth="1"/>
    <col min="5133" max="5133" width="16" style="238" bestFit="1" customWidth="1"/>
    <col min="5134" max="5134" width="16.5703125" style="238" bestFit="1" customWidth="1"/>
    <col min="5135" max="5381" width="9.140625" style="238"/>
    <col min="5382" max="5382" width="5.140625" style="238" customWidth="1"/>
    <col min="5383" max="5383" width="27.42578125" style="238" customWidth="1"/>
    <col min="5384" max="5384" width="17.140625" style="238" customWidth="1"/>
    <col min="5385" max="5385" width="7.42578125" style="238" customWidth="1"/>
    <col min="5386" max="5386" width="14.5703125" style="238" bestFit="1" customWidth="1"/>
    <col min="5387" max="5387" width="2" style="238" customWidth="1"/>
    <col min="5388" max="5388" width="2.5703125" style="238" customWidth="1"/>
    <col min="5389" max="5389" width="16" style="238" bestFit="1" customWidth="1"/>
    <col min="5390" max="5390" width="16.5703125" style="238" bestFit="1" customWidth="1"/>
    <col min="5391" max="5637" width="9.140625" style="238"/>
    <col min="5638" max="5638" width="5.140625" style="238" customWidth="1"/>
    <col min="5639" max="5639" width="27.42578125" style="238" customWidth="1"/>
    <col min="5640" max="5640" width="17.140625" style="238" customWidth="1"/>
    <col min="5641" max="5641" width="7.42578125" style="238" customWidth="1"/>
    <col min="5642" max="5642" width="14.5703125" style="238" bestFit="1" customWidth="1"/>
    <col min="5643" max="5643" width="2" style="238" customWidth="1"/>
    <col min="5644" max="5644" width="2.5703125" style="238" customWidth="1"/>
    <col min="5645" max="5645" width="16" style="238" bestFit="1" customWidth="1"/>
    <col min="5646" max="5646" width="16.5703125" style="238" bestFit="1" customWidth="1"/>
    <col min="5647" max="5893" width="9.140625" style="238"/>
    <col min="5894" max="5894" width="5.140625" style="238" customWidth="1"/>
    <col min="5895" max="5895" width="27.42578125" style="238" customWidth="1"/>
    <col min="5896" max="5896" width="17.140625" style="238" customWidth="1"/>
    <col min="5897" max="5897" width="7.42578125" style="238" customWidth="1"/>
    <col min="5898" max="5898" width="14.5703125" style="238" bestFit="1" customWidth="1"/>
    <col min="5899" max="5899" width="2" style="238" customWidth="1"/>
    <col min="5900" max="5900" width="2.5703125" style="238" customWidth="1"/>
    <col min="5901" max="5901" width="16" style="238" bestFit="1" customWidth="1"/>
    <col min="5902" max="5902" width="16.5703125" style="238" bestFit="1" customWidth="1"/>
    <col min="5903" max="6149" width="9.140625" style="238"/>
    <col min="6150" max="6150" width="5.140625" style="238" customWidth="1"/>
    <col min="6151" max="6151" width="27.42578125" style="238" customWidth="1"/>
    <col min="6152" max="6152" width="17.140625" style="238" customWidth="1"/>
    <col min="6153" max="6153" width="7.42578125" style="238" customWidth="1"/>
    <col min="6154" max="6154" width="14.5703125" style="238" bestFit="1" customWidth="1"/>
    <col min="6155" max="6155" width="2" style="238" customWidth="1"/>
    <col min="6156" max="6156" width="2.5703125" style="238" customWidth="1"/>
    <col min="6157" max="6157" width="16" style="238" bestFit="1" customWidth="1"/>
    <col min="6158" max="6158" width="16.5703125" style="238" bestFit="1" customWidth="1"/>
    <col min="6159" max="6405" width="9.140625" style="238"/>
    <col min="6406" max="6406" width="5.140625" style="238" customWidth="1"/>
    <col min="6407" max="6407" width="27.42578125" style="238" customWidth="1"/>
    <col min="6408" max="6408" width="17.140625" style="238" customWidth="1"/>
    <col min="6409" max="6409" width="7.42578125" style="238" customWidth="1"/>
    <col min="6410" max="6410" width="14.5703125" style="238" bestFit="1" customWidth="1"/>
    <col min="6411" max="6411" width="2" style="238" customWidth="1"/>
    <col min="6412" max="6412" width="2.5703125" style="238" customWidth="1"/>
    <col min="6413" max="6413" width="16" style="238" bestFit="1" customWidth="1"/>
    <col min="6414" max="6414" width="16.5703125" style="238" bestFit="1" customWidth="1"/>
    <col min="6415" max="6661" width="9.140625" style="238"/>
    <col min="6662" max="6662" width="5.140625" style="238" customWidth="1"/>
    <col min="6663" max="6663" width="27.42578125" style="238" customWidth="1"/>
    <col min="6664" max="6664" width="17.140625" style="238" customWidth="1"/>
    <col min="6665" max="6665" width="7.42578125" style="238" customWidth="1"/>
    <col min="6666" max="6666" width="14.5703125" style="238" bestFit="1" customWidth="1"/>
    <col min="6667" max="6667" width="2" style="238" customWidth="1"/>
    <col min="6668" max="6668" width="2.5703125" style="238" customWidth="1"/>
    <col min="6669" max="6669" width="16" style="238" bestFit="1" customWidth="1"/>
    <col min="6670" max="6670" width="16.5703125" style="238" bestFit="1" customWidth="1"/>
    <col min="6671" max="6917" width="9.140625" style="238"/>
    <col min="6918" max="6918" width="5.140625" style="238" customWidth="1"/>
    <col min="6919" max="6919" width="27.42578125" style="238" customWidth="1"/>
    <col min="6920" max="6920" width="17.140625" style="238" customWidth="1"/>
    <col min="6921" max="6921" width="7.42578125" style="238" customWidth="1"/>
    <col min="6922" max="6922" width="14.5703125" style="238" bestFit="1" customWidth="1"/>
    <col min="6923" max="6923" width="2" style="238" customWidth="1"/>
    <col min="6924" max="6924" width="2.5703125" style="238" customWidth="1"/>
    <col min="6925" max="6925" width="16" style="238" bestFit="1" customWidth="1"/>
    <col min="6926" max="6926" width="16.5703125" style="238" bestFit="1" customWidth="1"/>
    <col min="6927" max="7173" width="9.140625" style="238"/>
    <col min="7174" max="7174" width="5.140625" style="238" customWidth="1"/>
    <col min="7175" max="7175" width="27.42578125" style="238" customWidth="1"/>
    <col min="7176" max="7176" width="17.140625" style="238" customWidth="1"/>
    <col min="7177" max="7177" width="7.42578125" style="238" customWidth="1"/>
    <col min="7178" max="7178" width="14.5703125" style="238" bestFit="1" customWidth="1"/>
    <col min="7179" max="7179" width="2" style="238" customWidth="1"/>
    <col min="7180" max="7180" width="2.5703125" style="238" customWidth="1"/>
    <col min="7181" max="7181" width="16" style="238" bestFit="1" customWidth="1"/>
    <col min="7182" max="7182" width="16.5703125" style="238" bestFit="1" customWidth="1"/>
    <col min="7183" max="7429" width="9.140625" style="238"/>
    <col min="7430" max="7430" width="5.140625" style="238" customWidth="1"/>
    <col min="7431" max="7431" width="27.42578125" style="238" customWidth="1"/>
    <col min="7432" max="7432" width="17.140625" style="238" customWidth="1"/>
    <col min="7433" max="7433" width="7.42578125" style="238" customWidth="1"/>
    <col min="7434" max="7434" width="14.5703125" style="238" bestFit="1" customWidth="1"/>
    <col min="7435" max="7435" width="2" style="238" customWidth="1"/>
    <col min="7436" max="7436" width="2.5703125" style="238" customWidth="1"/>
    <col min="7437" max="7437" width="16" style="238" bestFit="1" customWidth="1"/>
    <col min="7438" max="7438" width="16.5703125" style="238" bestFit="1" customWidth="1"/>
    <col min="7439" max="7685" width="9.140625" style="238"/>
    <col min="7686" max="7686" width="5.140625" style="238" customWidth="1"/>
    <col min="7687" max="7687" width="27.42578125" style="238" customWidth="1"/>
    <col min="7688" max="7688" width="17.140625" style="238" customWidth="1"/>
    <col min="7689" max="7689" width="7.42578125" style="238" customWidth="1"/>
    <col min="7690" max="7690" width="14.5703125" style="238" bestFit="1" customWidth="1"/>
    <col min="7691" max="7691" width="2" style="238" customWidth="1"/>
    <col min="7692" max="7692" width="2.5703125" style="238" customWidth="1"/>
    <col min="7693" max="7693" width="16" style="238" bestFit="1" customWidth="1"/>
    <col min="7694" max="7694" width="16.5703125" style="238" bestFit="1" customWidth="1"/>
    <col min="7695" max="7941" width="9.140625" style="238"/>
    <col min="7942" max="7942" width="5.140625" style="238" customWidth="1"/>
    <col min="7943" max="7943" width="27.42578125" style="238" customWidth="1"/>
    <col min="7944" max="7944" width="17.140625" style="238" customWidth="1"/>
    <col min="7945" max="7945" width="7.42578125" style="238" customWidth="1"/>
    <col min="7946" max="7946" width="14.5703125" style="238" bestFit="1" customWidth="1"/>
    <col min="7947" max="7947" width="2" style="238" customWidth="1"/>
    <col min="7948" max="7948" width="2.5703125" style="238" customWidth="1"/>
    <col min="7949" max="7949" width="16" style="238" bestFit="1" customWidth="1"/>
    <col min="7950" max="7950" width="16.5703125" style="238" bestFit="1" customWidth="1"/>
    <col min="7951" max="8197" width="9.140625" style="238"/>
    <col min="8198" max="8198" width="5.140625" style="238" customWidth="1"/>
    <col min="8199" max="8199" width="27.42578125" style="238" customWidth="1"/>
    <col min="8200" max="8200" width="17.140625" style="238" customWidth="1"/>
    <col min="8201" max="8201" width="7.42578125" style="238" customWidth="1"/>
    <col min="8202" max="8202" width="14.5703125" style="238" bestFit="1" customWidth="1"/>
    <col min="8203" max="8203" width="2" style="238" customWidth="1"/>
    <col min="8204" max="8204" width="2.5703125" style="238" customWidth="1"/>
    <col min="8205" max="8205" width="16" style="238" bestFit="1" customWidth="1"/>
    <col min="8206" max="8206" width="16.5703125" style="238" bestFit="1" customWidth="1"/>
    <col min="8207" max="8453" width="9.140625" style="238"/>
    <col min="8454" max="8454" width="5.140625" style="238" customWidth="1"/>
    <col min="8455" max="8455" width="27.42578125" style="238" customWidth="1"/>
    <col min="8456" max="8456" width="17.140625" style="238" customWidth="1"/>
    <col min="8457" max="8457" width="7.42578125" style="238" customWidth="1"/>
    <col min="8458" max="8458" width="14.5703125" style="238" bestFit="1" customWidth="1"/>
    <col min="8459" max="8459" width="2" style="238" customWidth="1"/>
    <col min="8460" max="8460" width="2.5703125" style="238" customWidth="1"/>
    <col min="8461" max="8461" width="16" style="238" bestFit="1" customWidth="1"/>
    <col min="8462" max="8462" width="16.5703125" style="238" bestFit="1" customWidth="1"/>
    <col min="8463" max="8709" width="9.140625" style="238"/>
    <col min="8710" max="8710" width="5.140625" style="238" customWidth="1"/>
    <col min="8711" max="8711" width="27.42578125" style="238" customWidth="1"/>
    <col min="8712" max="8712" width="17.140625" style="238" customWidth="1"/>
    <col min="8713" max="8713" width="7.42578125" style="238" customWidth="1"/>
    <col min="8714" max="8714" width="14.5703125" style="238" bestFit="1" customWidth="1"/>
    <col min="8715" max="8715" width="2" style="238" customWidth="1"/>
    <col min="8716" max="8716" width="2.5703125" style="238" customWidth="1"/>
    <col min="8717" max="8717" width="16" style="238" bestFit="1" customWidth="1"/>
    <col min="8718" max="8718" width="16.5703125" style="238" bestFit="1" customWidth="1"/>
    <col min="8719" max="8965" width="9.140625" style="238"/>
    <col min="8966" max="8966" width="5.140625" style="238" customWidth="1"/>
    <col min="8967" max="8967" width="27.42578125" style="238" customWidth="1"/>
    <col min="8968" max="8968" width="17.140625" style="238" customWidth="1"/>
    <col min="8969" max="8969" width="7.42578125" style="238" customWidth="1"/>
    <col min="8970" max="8970" width="14.5703125" style="238" bestFit="1" customWidth="1"/>
    <col min="8971" max="8971" width="2" style="238" customWidth="1"/>
    <col min="8972" max="8972" width="2.5703125" style="238" customWidth="1"/>
    <col min="8973" max="8973" width="16" style="238" bestFit="1" customWidth="1"/>
    <col min="8974" max="8974" width="16.5703125" style="238" bestFit="1" customWidth="1"/>
    <col min="8975" max="9221" width="9.140625" style="238"/>
    <col min="9222" max="9222" width="5.140625" style="238" customWidth="1"/>
    <col min="9223" max="9223" width="27.42578125" style="238" customWidth="1"/>
    <col min="9224" max="9224" width="17.140625" style="238" customWidth="1"/>
    <col min="9225" max="9225" width="7.42578125" style="238" customWidth="1"/>
    <col min="9226" max="9226" width="14.5703125" style="238" bestFit="1" customWidth="1"/>
    <col min="9227" max="9227" width="2" style="238" customWidth="1"/>
    <col min="9228" max="9228" width="2.5703125" style="238" customWidth="1"/>
    <col min="9229" max="9229" width="16" style="238" bestFit="1" customWidth="1"/>
    <col min="9230" max="9230" width="16.5703125" style="238" bestFit="1" customWidth="1"/>
    <col min="9231" max="9477" width="9.140625" style="238"/>
    <col min="9478" max="9478" width="5.140625" style="238" customWidth="1"/>
    <col min="9479" max="9479" width="27.42578125" style="238" customWidth="1"/>
    <col min="9480" max="9480" width="17.140625" style="238" customWidth="1"/>
    <col min="9481" max="9481" width="7.42578125" style="238" customWidth="1"/>
    <col min="9482" max="9482" width="14.5703125" style="238" bestFit="1" customWidth="1"/>
    <col min="9483" max="9483" width="2" style="238" customWidth="1"/>
    <col min="9484" max="9484" width="2.5703125" style="238" customWidth="1"/>
    <col min="9485" max="9485" width="16" style="238" bestFit="1" customWidth="1"/>
    <col min="9486" max="9486" width="16.5703125" style="238" bestFit="1" customWidth="1"/>
    <col min="9487" max="9733" width="9.140625" style="238"/>
    <col min="9734" max="9734" width="5.140625" style="238" customWidth="1"/>
    <col min="9735" max="9735" width="27.42578125" style="238" customWidth="1"/>
    <col min="9736" max="9736" width="17.140625" style="238" customWidth="1"/>
    <col min="9737" max="9737" width="7.42578125" style="238" customWidth="1"/>
    <col min="9738" max="9738" width="14.5703125" style="238" bestFit="1" customWidth="1"/>
    <col min="9739" max="9739" width="2" style="238" customWidth="1"/>
    <col min="9740" max="9740" width="2.5703125" style="238" customWidth="1"/>
    <col min="9741" max="9741" width="16" style="238" bestFit="1" customWidth="1"/>
    <col min="9742" max="9742" width="16.5703125" style="238" bestFit="1" customWidth="1"/>
    <col min="9743" max="9989" width="9.140625" style="238"/>
    <col min="9990" max="9990" width="5.140625" style="238" customWidth="1"/>
    <col min="9991" max="9991" width="27.42578125" style="238" customWidth="1"/>
    <col min="9992" max="9992" width="17.140625" style="238" customWidth="1"/>
    <col min="9993" max="9993" width="7.42578125" style="238" customWidth="1"/>
    <col min="9994" max="9994" width="14.5703125" style="238" bestFit="1" customWidth="1"/>
    <col min="9995" max="9995" width="2" style="238" customWidth="1"/>
    <col min="9996" max="9996" width="2.5703125" style="238" customWidth="1"/>
    <col min="9997" max="9997" width="16" style="238" bestFit="1" customWidth="1"/>
    <col min="9998" max="9998" width="16.5703125" style="238" bestFit="1" customWidth="1"/>
    <col min="9999" max="10245" width="9.140625" style="238"/>
    <col min="10246" max="10246" width="5.140625" style="238" customWidth="1"/>
    <col min="10247" max="10247" width="27.42578125" style="238" customWidth="1"/>
    <col min="10248" max="10248" width="17.140625" style="238" customWidth="1"/>
    <col min="10249" max="10249" width="7.42578125" style="238" customWidth="1"/>
    <col min="10250" max="10250" width="14.5703125" style="238" bestFit="1" customWidth="1"/>
    <col min="10251" max="10251" width="2" style="238" customWidth="1"/>
    <col min="10252" max="10252" width="2.5703125" style="238" customWidth="1"/>
    <col min="10253" max="10253" width="16" style="238" bestFit="1" customWidth="1"/>
    <col min="10254" max="10254" width="16.5703125" style="238" bestFit="1" customWidth="1"/>
    <col min="10255" max="10501" width="9.140625" style="238"/>
    <col min="10502" max="10502" width="5.140625" style="238" customWidth="1"/>
    <col min="10503" max="10503" width="27.42578125" style="238" customWidth="1"/>
    <col min="10504" max="10504" width="17.140625" style="238" customWidth="1"/>
    <col min="10505" max="10505" width="7.42578125" style="238" customWidth="1"/>
    <col min="10506" max="10506" width="14.5703125" style="238" bestFit="1" customWidth="1"/>
    <col min="10507" max="10507" width="2" style="238" customWidth="1"/>
    <col min="10508" max="10508" width="2.5703125" style="238" customWidth="1"/>
    <col min="10509" max="10509" width="16" style="238" bestFit="1" customWidth="1"/>
    <col min="10510" max="10510" width="16.5703125" style="238" bestFit="1" customWidth="1"/>
    <col min="10511" max="10757" width="9.140625" style="238"/>
    <col min="10758" max="10758" width="5.140625" style="238" customWidth="1"/>
    <col min="10759" max="10759" width="27.42578125" style="238" customWidth="1"/>
    <col min="10760" max="10760" width="17.140625" style="238" customWidth="1"/>
    <col min="10761" max="10761" width="7.42578125" style="238" customWidth="1"/>
    <col min="10762" max="10762" width="14.5703125" style="238" bestFit="1" customWidth="1"/>
    <col min="10763" max="10763" width="2" style="238" customWidth="1"/>
    <col min="10764" max="10764" width="2.5703125" style="238" customWidth="1"/>
    <col min="10765" max="10765" width="16" style="238" bestFit="1" customWidth="1"/>
    <col min="10766" max="10766" width="16.5703125" style="238" bestFit="1" customWidth="1"/>
    <col min="10767" max="11013" width="9.140625" style="238"/>
    <col min="11014" max="11014" width="5.140625" style="238" customWidth="1"/>
    <col min="11015" max="11015" width="27.42578125" style="238" customWidth="1"/>
    <col min="11016" max="11016" width="17.140625" style="238" customWidth="1"/>
    <col min="11017" max="11017" width="7.42578125" style="238" customWidth="1"/>
    <col min="11018" max="11018" width="14.5703125" style="238" bestFit="1" customWidth="1"/>
    <col min="11019" max="11019" width="2" style="238" customWidth="1"/>
    <col min="11020" max="11020" width="2.5703125" style="238" customWidth="1"/>
    <col min="11021" max="11021" width="16" style="238" bestFit="1" customWidth="1"/>
    <col min="11022" max="11022" width="16.5703125" style="238" bestFit="1" customWidth="1"/>
    <col min="11023" max="11269" width="9.140625" style="238"/>
    <col min="11270" max="11270" width="5.140625" style="238" customWidth="1"/>
    <col min="11271" max="11271" width="27.42578125" style="238" customWidth="1"/>
    <col min="11272" max="11272" width="17.140625" style="238" customWidth="1"/>
    <col min="11273" max="11273" width="7.42578125" style="238" customWidth="1"/>
    <col min="11274" max="11274" width="14.5703125" style="238" bestFit="1" customWidth="1"/>
    <col min="11275" max="11275" width="2" style="238" customWidth="1"/>
    <col min="11276" max="11276" width="2.5703125" style="238" customWidth="1"/>
    <col min="11277" max="11277" width="16" style="238" bestFit="1" customWidth="1"/>
    <col min="11278" max="11278" width="16.5703125" style="238" bestFit="1" customWidth="1"/>
    <col min="11279" max="11525" width="9.140625" style="238"/>
    <col min="11526" max="11526" width="5.140625" style="238" customWidth="1"/>
    <col min="11527" max="11527" width="27.42578125" style="238" customWidth="1"/>
    <col min="11528" max="11528" width="17.140625" style="238" customWidth="1"/>
    <col min="11529" max="11529" width="7.42578125" style="238" customWidth="1"/>
    <col min="11530" max="11530" width="14.5703125" style="238" bestFit="1" customWidth="1"/>
    <col min="11531" max="11531" width="2" style="238" customWidth="1"/>
    <col min="11532" max="11532" width="2.5703125" style="238" customWidth="1"/>
    <col min="11533" max="11533" width="16" style="238" bestFit="1" customWidth="1"/>
    <col min="11534" max="11534" width="16.5703125" style="238" bestFit="1" customWidth="1"/>
    <col min="11535" max="11781" width="9.140625" style="238"/>
    <col min="11782" max="11782" width="5.140625" style="238" customWidth="1"/>
    <col min="11783" max="11783" width="27.42578125" style="238" customWidth="1"/>
    <col min="11784" max="11784" width="17.140625" style="238" customWidth="1"/>
    <col min="11785" max="11785" width="7.42578125" style="238" customWidth="1"/>
    <col min="11786" max="11786" width="14.5703125" style="238" bestFit="1" customWidth="1"/>
    <col min="11787" max="11787" width="2" style="238" customWidth="1"/>
    <col min="11788" max="11788" width="2.5703125" style="238" customWidth="1"/>
    <col min="11789" max="11789" width="16" style="238" bestFit="1" customWidth="1"/>
    <col min="11790" max="11790" width="16.5703125" style="238" bestFit="1" customWidth="1"/>
    <col min="11791" max="12037" width="9.140625" style="238"/>
    <col min="12038" max="12038" width="5.140625" style="238" customWidth="1"/>
    <col min="12039" max="12039" width="27.42578125" style="238" customWidth="1"/>
    <col min="12040" max="12040" width="17.140625" style="238" customWidth="1"/>
    <col min="12041" max="12041" width="7.42578125" style="238" customWidth="1"/>
    <col min="12042" max="12042" width="14.5703125" style="238" bestFit="1" customWidth="1"/>
    <col min="12043" max="12043" width="2" style="238" customWidth="1"/>
    <col min="12044" max="12044" width="2.5703125" style="238" customWidth="1"/>
    <col min="12045" max="12045" width="16" style="238" bestFit="1" customWidth="1"/>
    <col min="12046" max="12046" width="16.5703125" style="238" bestFit="1" customWidth="1"/>
    <col min="12047" max="12293" width="9.140625" style="238"/>
    <col min="12294" max="12294" width="5.140625" style="238" customWidth="1"/>
    <col min="12295" max="12295" width="27.42578125" style="238" customWidth="1"/>
    <col min="12296" max="12296" width="17.140625" style="238" customWidth="1"/>
    <col min="12297" max="12297" width="7.42578125" style="238" customWidth="1"/>
    <col min="12298" max="12298" width="14.5703125" style="238" bestFit="1" customWidth="1"/>
    <col min="12299" max="12299" width="2" style="238" customWidth="1"/>
    <col min="12300" max="12300" width="2.5703125" style="238" customWidth="1"/>
    <col min="12301" max="12301" width="16" style="238" bestFit="1" customWidth="1"/>
    <col min="12302" max="12302" width="16.5703125" style="238" bestFit="1" customWidth="1"/>
    <col min="12303" max="12549" width="9.140625" style="238"/>
    <col min="12550" max="12550" width="5.140625" style="238" customWidth="1"/>
    <col min="12551" max="12551" width="27.42578125" style="238" customWidth="1"/>
    <col min="12552" max="12552" width="17.140625" style="238" customWidth="1"/>
    <col min="12553" max="12553" width="7.42578125" style="238" customWidth="1"/>
    <col min="12554" max="12554" width="14.5703125" style="238" bestFit="1" customWidth="1"/>
    <col min="12555" max="12555" width="2" style="238" customWidth="1"/>
    <col min="12556" max="12556" width="2.5703125" style="238" customWidth="1"/>
    <col min="12557" max="12557" width="16" style="238" bestFit="1" customWidth="1"/>
    <col min="12558" max="12558" width="16.5703125" style="238" bestFit="1" customWidth="1"/>
    <col min="12559" max="12805" width="9.140625" style="238"/>
    <col min="12806" max="12806" width="5.140625" style="238" customWidth="1"/>
    <col min="12807" max="12807" width="27.42578125" style="238" customWidth="1"/>
    <col min="12808" max="12808" width="17.140625" style="238" customWidth="1"/>
    <col min="12809" max="12809" width="7.42578125" style="238" customWidth="1"/>
    <col min="12810" max="12810" width="14.5703125" style="238" bestFit="1" customWidth="1"/>
    <col min="12811" max="12811" width="2" style="238" customWidth="1"/>
    <col min="12812" max="12812" width="2.5703125" style="238" customWidth="1"/>
    <col min="12813" max="12813" width="16" style="238" bestFit="1" customWidth="1"/>
    <col min="12814" max="12814" width="16.5703125" style="238" bestFit="1" customWidth="1"/>
    <col min="12815" max="13061" width="9.140625" style="238"/>
    <col min="13062" max="13062" width="5.140625" style="238" customWidth="1"/>
    <col min="13063" max="13063" width="27.42578125" style="238" customWidth="1"/>
    <col min="13064" max="13064" width="17.140625" style="238" customWidth="1"/>
    <col min="13065" max="13065" width="7.42578125" style="238" customWidth="1"/>
    <col min="13066" max="13066" width="14.5703125" style="238" bestFit="1" customWidth="1"/>
    <col min="13067" max="13067" width="2" style="238" customWidth="1"/>
    <col min="13068" max="13068" width="2.5703125" style="238" customWidth="1"/>
    <col min="13069" max="13069" width="16" style="238" bestFit="1" customWidth="1"/>
    <col min="13070" max="13070" width="16.5703125" style="238" bestFit="1" customWidth="1"/>
    <col min="13071" max="13317" width="9.140625" style="238"/>
    <col min="13318" max="13318" width="5.140625" style="238" customWidth="1"/>
    <col min="13319" max="13319" width="27.42578125" style="238" customWidth="1"/>
    <col min="13320" max="13320" width="17.140625" style="238" customWidth="1"/>
    <col min="13321" max="13321" width="7.42578125" style="238" customWidth="1"/>
    <col min="13322" max="13322" width="14.5703125" style="238" bestFit="1" customWidth="1"/>
    <col min="13323" max="13323" width="2" style="238" customWidth="1"/>
    <col min="13324" max="13324" width="2.5703125" style="238" customWidth="1"/>
    <col min="13325" max="13325" width="16" style="238" bestFit="1" customWidth="1"/>
    <col min="13326" max="13326" width="16.5703125" style="238" bestFit="1" customWidth="1"/>
    <col min="13327" max="13573" width="9.140625" style="238"/>
    <col min="13574" max="13574" width="5.140625" style="238" customWidth="1"/>
    <col min="13575" max="13575" width="27.42578125" style="238" customWidth="1"/>
    <col min="13576" max="13576" width="17.140625" style="238" customWidth="1"/>
    <col min="13577" max="13577" width="7.42578125" style="238" customWidth="1"/>
    <col min="13578" max="13578" width="14.5703125" style="238" bestFit="1" customWidth="1"/>
    <col min="13579" max="13579" width="2" style="238" customWidth="1"/>
    <col min="13580" max="13580" width="2.5703125" style="238" customWidth="1"/>
    <col min="13581" max="13581" width="16" style="238" bestFit="1" customWidth="1"/>
    <col min="13582" max="13582" width="16.5703125" style="238" bestFit="1" customWidth="1"/>
    <col min="13583" max="13829" width="9.140625" style="238"/>
    <col min="13830" max="13830" width="5.140625" style="238" customWidth="1"/>
    <col min="13831" max="13831" width="27.42578125" style="238" customWidth="1"/>
    <col min="13832" max="13832" width="17.140625" style="238" customWidth="1"/>
    <col min="13833" max="13833" width="7.42578125" style="238" customWidth="1"/>
    <col min="13834" max="13834" width="14.5703125" style="238" bestFit="1" customWidth="1"/>
    <col min="13835" max="13835" width="2" style="238" customWidth="1"/>
    <col min="13836" max="13836" width="2.5703125" style="238" customWidth="1"/>
    <col min="13837" max="13837" width="16" style="238" bestFit="1" customWidth="1"/>
    <col min="13838" max="13838" width="16.5703125" style="238" bestFit="1" customWidth="1"/>
    <col min="13839" max="14085" width="9.140625" style="238"/>
    <col min="14086" max="14086" width="5.140625" style="238" customWidth="1"/>
    <col min="14087" max="14087" width="27.42578125" style="238" customWidth="1"/>
    <col min="14088" max="14088" width="17.140625" style="238" customWidth="1"/>
    <col min="14089" max="14089" width="7.42578125" style="238" customWidth="1"/>
    <col min="14090" max="14090" width="14.5703125" style="238" bestFit="1" customWidth="1"/>
    <col min="14091" max="14091" width="2" style="238" customWidth="1"/>
    <col min="14092" max="14092" width="2.5703125" style="238" customWidth="1"/>
    <col min="14093" max="14093" width="16" style="238" bestFit="1" customWidth="1"/>
    <col min="14094" max="14094" width="16.5703125" style="238" bestFit="1" customWidth="1"/>
    <col min="14095" max="14341" width="9.140625" style="238"/>
    <col min="14342" max="14342" width="5.140625" style="238" customWidth="1"/>
    <col min="14343" max="14343" width="27.42578125" style="238" customWidth="1"/>
    <col min="14344" max="14344" width="17.140625" style="238" customWidth="1"/>
    <col min="14345" max="14345" width="7.42578125" style="238" customWidth="1"/>
    <col min="14346" max="14346" width="14.5703125" style="238" bestFit="1" customWidth="1"/>
    <col min="14347" max="14347" width="2" style="238" customWidth="1"/>
    <col min="14348" max="14348" width="2.5703125" style="238" customWidth="1"/>
    <col min="14349" max="14349" width="16" style="238" bestFit="1" customWidth="1"/>
    <col min="14350" max="14350" width="16.5703125" style="238" bestFit="1" customWidth="1"/>
    <col min="14351" max="14597" width="9.140625" style="238"/>
    <col min="14598" max="14598" width="5.140625" style="238" customWidth="1"/>
    <col min="14599" max="14599" width="27.42578125" style="238" customWidth="1"/>
    <col min="14600" max="14600" width="17.140625" style="238" customWidth="1"/>
    <col min="14601" max="14601" width="7.42578125" style="238" customWidth="1"/>
    <col min="14602" max="14602" width="14.5703125" style="238" bestFit="1" customWidth="1"/>
    <col min="14603" max="14603" width="2" style="238" customWidth="1"/>
    <col min="14604" max="14604" width="2.5703125" style="238" customWidth="1"/>
    <col min="14605" max="14605" width="16" style="238" bestFit="1" customWidth="1"/>
    <col min="14606" max="14606" width="16.5703125" style="238" bestFit="1" customWidth="1"/>
    <col min="14607" max="14853" width="9.140625" style="238"/>
    <col min="14854" max="14854" width="5.140625" style="238" customWidth="1"/>
    <col min="14855" max="14855" width="27.42578125" style="238" customWidth="1"/>
    <col min="14856" max="14856" width="17.140625" style="238" customWidth="1"/>
    <col min="14857" max="14857" width="7.42578125" style="238" customWidth="1"/>
    <col min="14858" max="14858" width="14.5703125" style="238" bestFit="1" customWidth="1"/>
    <col min="14859" max="14859" width="2" style="238" customWidth="1"/>
    <col min="14860" max="14860" width="2.5703125" style="238" customWidth="1"/>
    <col min="14861" max="14861" width="16" style="238" bestFit="1" customWidth="1"/>
    <col min="14862" max="14862" width="16.5703125" style="238" bestFit="1" customWidth="1"/>
    <col min="14863" max="15109" width="9.140625" style="238"/>
    <col min="15110" max="15110" width="5.140625" style="238" customWidth="1"/>
    <col min="15111" max="15111" width="27.42578125" style="238" customWidth="1"/>
    <col min="15112" max="15112" width="17.140625" style="238" customWidth="1"/>
    <col min="15113" max="15113" width="7.42578125" style="238" customWidth="1"/>
    <col min="15114" max="15114" width="14.5703125" style="238" bestFit="1" customWidth="1"/>
    <col min="15115" max="15115" width="2" style="238" customWidth="1"/>
    <col min="15116" max="15116" width="2.5703125" style="238" customWidth="1"/>
    <col min="15117" max="15117" width="16" style="238" bestFit="1" customWidth="1"/>
    <col min="15118" max="15118" width="16.5703125" style="238" bestFit="1" customWidth="1"/>
    <col min="15119" max="15365" width="9.140625" style="238"/>
    <col min="15366" max="15366" width="5.140625" style="238" customWidth="1"/>
    <col min="15367" max="15367" width="27.42578125" style="238" customWidth="1"/>
    <col min="15368" max="15368" width="17.140625" style="238" customWidth="1"/>
    <col min="15369" max="15369" width="7.42578125" style="238" customWidth="1"/>
    <col min="15370" max="15370" width="14.5703125" style="238" bestFit="1" customWidth="1"/>
    <col min="15371" max="15371" width="2" style="238" customWidth="1"/>
    <col min="15372" max="15372" width="2.5703125" style="238" customWidth="1"/>
    <col min="15373" max="15373" width="16" style="238" bestFit="1" customWidth="1"/>
    <col min="15374" max="15374" width="16.5703125" style="238" bestFit="1" customWidth="1"/>
    <col min="15375" max="15621" width="9.140625" style="238"/>
    <col min="15622" max="15622" width="5.140625" style="238" customWidth="1"/>
    <col min="15623" max="15623" width="27.42578125" style="238" customWidth="1"/>
    <col min="15624" max="15624" width="17.140625" style="238" customWidth="1"/>
    <col min="15625" max="15625" width="7.42578125" style="238" customWidth="1"/>
    <col min="15626" max="15626" width="14.5703125" style="238" bestFit="1" customWidth="1"/>
    <col min="15627" max="15627" width="2" style="238" customWidth="1"/>
    <col min="15628" max="15628" width="2.5703125" style="238" customWidth="1"/>
    <col min="15629" max="15629" width="16" style="238" bestFit="1" customWidth="1"/>
    <col min="15630" max="15630" width="16.5703125" style="238" bestFit="1" customWidth="1"/>
    <col min="15631" max="15877" width="9.140625" style="238"/>
    <col min="15878" max="15878" width="5.140625" style="238" customWidth="1"/>
    <col min="15879" max="15879" width="27.42578125" style="238" customWidth="1"/>
    <col min="15880" max="15880" width="17.140625" style="238" customWidth="1"/>
    <col min="15881" max="15881" width="7.42578125" style="238" customWidth="1"/>
    <col min="15882" max="15882" width="14.5703125" style="238" bestFit="1" customWidth="1"/>
    <col min="15883" max="15883" width="2" style="238" customWidth="1"/>
    <col min="15884" max="15884" width="2.5703125" style="238" customWidth="1"/>
    <col min="15885" max="15885" width="16" style="238" bestFit="1" customWidth="1"/>
    <col min="15886" max="15886" width="16.5703125" style="238" bestFit="1" customWidth="1"/>
    <col min="15887" max="16133" width="9.140625" style="238"/>
    <col min="16134" max="16134" width="5.140625" style="238" customWidth="1"/>
    <col min="16135" max="16135" width="27.42578125" style="238" customWidth="1"/>
    <col min="16136" max="16136" width="17.140625" style="238" customWidth="1"/>
    <col min="16137" max="16137" width="7.42578125" style="238" customWidth="1"/>
    <col min="16138" max="16138" width="14.5703125" style="238" bestFit="1" customWidth="1"/>
    <col min="16139" max="16139" width="2" style="238" customWidth="1"/>
    <col min="16140" max="16140" width="2.5703125" style="238" customWidth="1"/>
    <col min="16141" max="16141" width="16" style="238" bestFit="1" customWidth="1"/>
    <col min="16142" max="16142" width="16.5703125" style="238" bestFit="1" customWidth="1"/>
    <col min="16143" max="16384" width="9.140625" style="238"/>
  </cols>
  <sheetData>
    <row r="1" spans="1:18" x14ac:dyDescent="0.3">
      <c r="A1" s="526" t="s">
        <v>0</v>
      </c>
      <c r="B1" s="526"/>
      <c r="C1" s="526"/>
      <c r="D1" s="526"/>
      <c r="E1" s="526"/>
      <c r="F1" s="526"/>
      <c r="G1" s="537"/>
      <c r="H1" s="526"/>
      <c r="I1" s="526"/>
      <c r="J1" s="526"/>
      <c r="K1" s="526"/>
      <c r="L1" s="526"/>
      <c r="M1" s="526"/>
      <c r="N1" s="526"/>
    </row>
    <row r="2" spans="1:18" x14ac:dyDescent="0.3">
      <c r="A2" s="526" t="s">
        <v>1</v>
      </c>
      <c r="B2" s="526"/>
      <c r="C2" s="526"/>
      <c r="D2" s="526"/>
      <c r="E2" s="526"/>
      <c r="F2" s="526"/>
      <c r="G2" s="537"/>
      <c r="H2" s="526"/>
      <c r="I2" s="526"/>
      <c r="J2" s="526"/>
      <c r="K2" s="526"/>
      <c r="L2" s="526"/>
      <c r="M2" s="526"/>
      <c r="N2" s="526"/>
      <c r="Q2" s="239">
        <v>583712270.47000003</v>
      </c>
      <c r="R2" s="239">
        <v>528253143.23000002</v>
      </c>
    </row>
    <row r="3" spans="1:18" x14ac:dyDescent="0.3">
      <c r="A3" s="527" t="s">
        <v>564</v>
      </c>
      <c r="B3" s="527"/>
      <c r="C3" s="527"/>
      <c r="D3" s="527"/>
      <c r="E3" s="527"/>
      <c r="F3" s="527"/>
      <c r="G3" s="538"/>
      <c r="H3" s="527"/>
      <c r="I3" s="527"/>
      <c r="J3" s="527"/>
      <c r="K3" s="527"/>
      <c r="L3" s="527"/>
      <c r="M3" s="527"/>
      <c r="N3" s="527"/>
      <c r="Q3" s="239">
        <v>473605356.30000001</v>
      </c>
      <c r="R3" s="239">
        <v>40135142.460000001</v>
      </c>
    </row>
    <row r="4" spans="1:18" x14ac:dyDescent="0.3">
      <c r="A4" s="526" t="str">
        <f>'tb control'!A4:E4</f>
        <v>Fund Cluster 1</v>
      </c>
      <c r="B4" s="526"/>
      <c r="C4" s="526"/>
      <c r="D4" s="526"/>
      <c r="E4" s="526"/>
      <c r="F4" s="526"/>
      <c r="G4" s="537"/>
      <c r="H4" s="526"/>
      <c r="I4" s="526"/>
      <c r="J4" s="526"/>
      <c r="K4" s="526"/>
      <c r="L4" s="526"/>
      <c r="M4" s="526"/>
      <c r="N4" s="526"/>
      <c r="Q4" s="239">
        <f>Q2-Q3</f>
        <v>110106914.17000002</v>
      </c>
      <c r="R4" s="239">
        <v>26073028.109999999</v>
      </c>
    </row>
    <row r="5" spans="1:18" x14ac:dyDescent="0.3">
      <c r="A5" s="529" t="str">
        <f>'tb control'!A5:E5</f>
        <v>As at December 31, 2024</v>
      </c>
      <c r="B5" s="529"/>
      <c r="C5" s="529"/>
      <c r="D5" s="529"/>
      <c r="E5" s="529"/>
      <c r="F5" s="529"/>
      <c r="G5" s="536"/>
      <c r="H5" s="529"/>
      <c r="I5" s="529"/>
      <c r="J5" s="529"/>
      <c r="K5" s="529"/>
      <c r="L5" s="529"/>
      <c r="M5" s="529"/>
      <c r="N5" s="529"/>
      <c r="R5" s="239">
        <f>SUM(R2:R4)</f>
        <v>594461313.80000007</v>
      </c>
    </row>
    <row r="6" spans="1:18" ht="12.75" customHeight="1" x14ac:dyDescent="0.3">
      <c r="A6" s="512"/>
      <c r="B6" s="512"/>
      <c r="C6" s="512"/>
      <c r="D6" s="512"/>
      <c r="E6" s="514"/>
      <c r="F6" s="327"/>
      <c r="G6" s="464"/>
      <c r="H6" s="465"/>
      <c r="I6" s="466"/>
      <c r="J6" s="9"/>
      <c r="K6" s="10"/>
      <c r="L6" s="10"/>
      <c r="M6" s="10"/>
    </row>
    <row r="7" spans="1:18" ht="8.25" customHeight="1" x14ac:dyDescent="0.3">
      <c r="A7" s="512"/>
      <c r="B7" s="512"/>
      <c r="C7" s="512"/>
      <c r="D7" s="512"/>
      <c r="E7" s="514"/>
      <c r="F7" s="327"/>
      <c r="G7" s="464"/>
      <c r="H7" s="465"/>
      <c r="I7" s="467"/>
      <c r="J7" s="11"/>
      <c r="K7" s="12"/>
      <c r="L7" s="12"/>
      <c r="M7" s="12"/>
      <c r="N7" s="247"/>
    </row>
    <row r="8" spans="1:18" ht="33" x14ac:dyDescent="0.3">
      <c r="A8" s="512"/>
      <c r="B8" s="512"/>
      <c r="C8" s="512"/>
      <c r="D8" s="512"/>
      <c r="E8" s="514"/>
      <c r="F8" s="327"/>
      <c r="G8" s="464"/>
      <c r="H8" s="465"/>
      <c r="I8" s="468" t="s">
        <v>515</v>
      </c>
      <c r="J8" s="11"/>
      <c r="K8" s="12"/>
      <c r="L8" s="343" t="s">
        <v>524</v>
      </c>
      <c r="M8" s="344" t="s">
        <v>522</v>
      </c>
      <c r="N8" s="248" t="s">
        <v>523</v>
      </c>
    </row>
    <row r="9" spans="1:18" ht="12.75" customHeight="1" x14ac:dyDescent="0.3">
      <c r="A9" s="512"/>
      <c r="B9" s="512"/>
      <c r="C9" s="512"/>
      <c r="D9" s="512"/>
      <c r="E9" s="514"/>
      <c r="F9" s="327"/>
      <c r="G9" s="464"/>
      <c r="H9" s="465"/>
      <c r="I9" s="467"/>
      <c r="J9" s="11"/>
      <c r="K9" s="12"/>
      <c r="L9" s="12"/>
      <c r="M9" s="12" t="s">
        <v>352</v>
      </c>
      <c r="N9" s="247"/>
    </row>
    <row r="10" spans="1:18" x14ac:dyDescent="0.3">
      <c r="A10" s="13" t="s">
        <v>254</v>
      </c>
      <c r="B10" s="13"/>
      <c r="C10" s="13"/>
    </row>
    <row r="11" spans="1:18" x14ac:dyDescent="0.3">
      <c r="D11" s="16"/>
      <c r="E11" s="227"/>
      <c r="F11" s="312" t="s">
        <v>424</v>
      </c>
      <c r="K11" s="17"/>
      <c r="L11" s="17"/>
      <c r="M11" s="17"/>
      <c r="O11" s="240"/>
    </row>
    <row r="12" spans="1:18" x14ac:dyDescent="0.3">
      <c r="A12" s="18" t="s">
        <v>201</v>
      </c>
      <c r="B12" s="18"/>
      <c r="C12" s="18"/>
      <c r="D12" s="16"/>
      <c r="E12" s="227"/>
      <c r="F12" s="326">
        <v>15</v>
      </c>
      <c r="K12" s="17"/>
      <c r="L12" s="17"/>
      <c r="M12" s="17"/>
      <c r="O12" s="240"/>
    </row>
    <row r="13" spans="1:18" x14ac:dyDescent="0.3">
      <c r="D13" s="16" t="s">
        <v>202</v>
      </c>
      <c r="E13" s="227"/>
      <c r="G13" s="469">
        <v>4020101099</v>
      </c>
      <c r="H13" s="58" t="s">
        <v>182</v>
      </c>
      <c r="I13" s="6">
        <f>VLOOKUP($G13,'FC1-Pre TB 2024'!$C$10:$F$276,4,FALSE)</f>
        <v>6500</v>
      </c>
      <c r="K13" s="58" t="s">
        <v>182</v>
      </c>
      <c r="L13" s="346">
        <f>VLOOKUP($G13,'Restated FC1-Pre TB 2023'!$C$10:$E$271,3,FALSE)</f>
        <v>3500</v>
      </c>
      <c r="M13" s="410">
        <f>N13-L13</f>
        <v>0</v>
      </c>
      <c r="N13" s="37">
        <f>VLOOKUP($G13,'Restated FC1-Pre TB 2023'!$C$10:$I$271,7,FALSE)</f>
        <v>3500</v>
      </c>
      <c r="O13" s="241">
        <f>I13</f>
        <v>6500</v>
      </c>
    </row>
    <row r="14" spans="1:18" x14ac:dyDescent="0.3">
      <c r="D14" s="16" t="s">
        <v>113</v>
      </c>
      <c r="E14" s="227"/>
      <c r="G14" s="469">
        <v>4020102000</v>
      </c>
      <c r="I14" s="6">
        <f>VLOOKUP($G14,'FC1-Pre TB 2024'!$C$10:$F$276,4,FALSE)</f>
        <v>5000</v>
      </c>
      <c r="K14" s="17"/>
      <c r="L14" s="346">
        <f>VLOOKUP($G14,'Restated FC1-Pre TB 2023'!$C$10:$E$271,3,FALSE)</f>
        <v>12000</v>
      </c>
      <c r="M14" s="410">
        <f>N14-L14</f>
        <v>0</v>
      </c>
      <c r="N14" s="37">
        <f>VLOOKUP($G14,'Restated FC1-Pre TB 2023'!$C$10:$I$271,7,FALSE)</f>
        <v>12000</v>
      </c>
      <c r="O14" s="241">
        <f t="shared" ref="O14:O91" si="0">I14</f>
        <v>5000</v>
      </c>
    </row>
    <row r="15" spans="1:18" x14ac:dyDescent="0.3">
      <c r="D15" s="16" t="s">
        <v>203</v>
      </c>
      <c r="E15" s="227"/>
      <c r="G15" s="469">
        <v>4020104001</v>
      </c>
      <c r="I15" s="6">
        <f>VLOOKUP($G15,'FC1-Pre TB 2024'!$C$10:$F$276,4,FALSE)</f>
        <v>320100</v>
      </c>
      <c r="K15" s="17"/>
      <c r="L15" s="346">
        <f>VLOOKUP($G15,'Restated FC1-Pre TB 2023'!$C$10:$E$271,3,FALSE)</f>
        <v>386100</v>
      </c>
      <c r="M15" s="410">
        <f>N15-L15</f>
        <v>0</v>
      </c>
      <c r="N15" s="37">
        <f>VLOOKUP($G15,'Restated FC1-Pre TB 2023'!$C$10:$I$271,7,FALSE)</f>
        <v>386100</v>
      </c>
      <c r="O15" s="241">
        <f t="shared" si="0"/>
        <v>320100</v>
      </c>
    </row>
    <row r="16" spans="1:18" x14ac:dyDescent="0.3">
      <c r="D16" s="19" t="s">
        <v>111</v>
      </c>
      <c r="E16" s="227"/>
      <c r="G16" s="469">
        <v>4020106000</v>
      </c>
      <c r="I16" s="6">
        <f>VLOOKUP($G16,'FC1-Pre TB 2024'!$C$10:$F$276,4,FALSE)</f>
        <v>6000</v>
      </c>
      <c r="K16" s="17"/>
      <c r="L16" s="346">
        <f>VLOOKUP($G16,'Restated FC1-Pre TB 2023'!$C$10:$E$271,3,FALSE)</f>
        <v>8000</v>
      </c>
      <c r="M16" s="410">
        <f>N16-L16</f>
        <v>0</v>
      </c>
      <c r="N16" s="37">
        <f>VLOOKUP($G16,'Restated FC1-Pre TB 2023'!$C$10:$I$271,7,FALSE)</f>
        <v>8000</v>
      </c>
      <c r="O16" s="241">
        <f t="shared" si="0"/>
        <v>6000</v>
      </c>
    </row>
    <row r="17" spans="1:15" hidden="1" x14ac:dyDescent="0.3">
      <c r="D17" s="19" t="s">
        <v>364</v>
      </c>
      <c r="E17" s="227"/>
      <c r="G17" s="469">
        <v>4020114000</v>
      </c>
      <c r="I17" s="6">
        <f>VLOOKUP($G17,'FC1-Pre TB 2024'!$C$10:$F$276,4,FALSE)</f>
        <v>0</v>
      </c>
      <c r="K17" s="17"/>
      <c r="L17" s="346">
        <f>VLOOKUP($G17,'Restated FC1-Pre TB 2023'!$C$10:$E$271,3,FALSE)</f>
        <v>0</v>
      </c>
      <c r="M17" s="410">
        <f>N17-L17</f>
        <v>0</v>
      </c>
      <c r="N17" s="37">
        <f>VLOOKUP($G17,'Restated FC1-Pre TB 2023'!$C$10:$I$271,7,FALSE)</f>
        <v>0</v>
      </c>
      <c r="O17" s="241">
        <f t="shared" si="0"/>
        <v>0</v>
      </c>
    </row>
    <row r="18" spans="1:15" x14ac:dyDescent="0.3">
      <c r="D18" s="19" t="s">
        <v>327</v>
      </c>
      <c r="E18" s="227"/>
      <c r="H18" s="58"/>
      <c r="I18" s="153">
        <f>SUM(I13:I17)</f>
        <v>337600</v>
      </c>
      <c r="J18" s="152">
        <f t="shared" ref="J18:M18" si="1">SUM(J13:J17)</f>
        <v>0</v>
      </c>
      <c r="K18" s="152">
        <f t="shared" si="1"/>
        <v>0</v>
      </c>
      <c r="L18" s="152">
        <f t="shared" si="1"/>
        <v>409600</v>
      </c>
      <c r="M18" s="152">
        <f t="shared" si="1"/>
        <v>0</v>
      </c>
      <c r="N18" s="249">
        <f>SUM(N13:N17)</f>
        <v>409600</v>
      </c>
      <c r="O18" s="241">
        <f t="shared" si="0"/>
        <v>337600</v>
      </c>
    </row>
    <row r="19" spans="1:15" x14ac:dyDescent="0.3">
      <c r="D19" s="19"/>
      <c r="E19" s="227"/>
      <c r="K19" s="17"/>
      <c r="L19" s="17"/>
      <c r="M19" s="17"/>
      <c r="O19" s="241">
        <f t="shared" si="0"/>
        <v>0</v>
      </c>
    </row>
    <row r="20" spans="1:15" x14ac:dyDescent="0.3">
      <c r="A20" s="18" t="s">
        <v>328</v>
      </c>
      <c r="B20" s="18"/>
      <c r="C20" s="18"/>
      <c r="D20" s="19"/>
      <c r="E20" s="227"/>
      <c r="F20" s="312">
        <v>16</v>
      </c>
      <c r="K20" s="17"/>
      <c r="L20" s="17"/>
      <c r="M20" s="17"/>
      <c r="O20" s="241">
        <f t="shared" si="0"/>
        <v>0</v>
      </c>
    </row>
    <row r="21" spans="1:15" x14ac:dyDescent="0.3">
      <c r="D21" s="16" t="s">
        <v>114</v>
      </c>
      <c r="E21" s="227"/>
      <c r="G21" s="469">
        <v>4040201000</v>
      </c>
      <c r="I21" s="6">
        <f>VLOOKUP($G21,'FC1-Pre TB 2024'!$C$10:$F$276,4,FALSE)</f>
        <v>0</v>
      </c>
      <c r="K21" s="20"/>
      <c r="L21" s="346">
        <f>VLOOKUP($G21,'Restated FC1-Pre TB 2023'!$C$10:$E$271,3,FALSE)</f>
        <v>19000</v>
      </c>
      <c r="M21" s="410">
        <f t="shared" ref="M21:M22" si="2">N21-L21</f>
        <v>0</v>
      </c>
      <c r="N21" s="37">
        <f>VLOOKUP($G21,'Restated FC1-Pre TB 2023'!$C$10:$I$271,7,FALSE)</f>
        <v>19000</v>
      </c>
      <c r="O21" s="241">
        <f t="shared" si="0"/>
        <v>0</v>
      </c>
    </row>
    <row r="22" spans="1:15" ht="16.5" customHeight="1" x14ac:dyDescent="0.3">
      <c r="D22" s="16" t="s">
        <v>115</v>
      </c>
      <c r="E22" s="227"/>
      <c r="G22" s="469">
        <v>4040202000</v>
      </c>
      <c r="H22" s="58"/>
      <c r="I22" s="6">
        <f>VLOOKUP($G22,'FC1-Pre TB 2024'!$C$10:$F$276,4,FALSE)</f>
        <v>95000</v>
      </c>
      <c r="K22" s="20"/>
      <c r="L22" s="346">
        <f>VLOOKUP($G22,'Restated FC1-Pre TB 2023'!$C$10:$E$271,3,FALSE)</f>
        <v>3834570.04</v>
      </c>
      <c r="M22" s="410">
        <f t="shared" si="2"/>
        <v>0</v>
      </c>
      <c r="N22" s="37">
        <f>VLOOKUP($G22,'Restated FC1-Pre TB 2023'!$C$10:$I$271,7,FALSE)</f>
        <v>3834570.04</v>
      </c>
      <c r="O22" s="241">
        <f t="shared" si="0"/>
        <v>95000</v>
      </c>
    </row>
    <row r="23" spans="1:15" ht="16.5" customHeight="1" x14ac:dyDescent="0.3">
      <c r="D23" s="16" t="s">
        <v>329</v>
      </c>
      <c r="E23" s="227"/>
      <c r="H23" s="58"/>
      <c r="I23" s="153">
        <f>SUM(I21:I22)</f>
        <v>95000</v>
      </c>
      <c r="J23" s="152">
        <f t="shared" ref="J23:M23" si="3">SUM(J21:J22)</f>
        <v>0</v>
      </c>
      <c r="K23" s="152">
        <f t="shared" si="3"/>
        <v>0</v>
      </c>
      <c r="L23" s="152">
        <f t="shared" si="3"/>
        <v>3853570.04</v>
      </c>
      <c r="M23" s="152">
        <f t="shared" si="3"/>
        <v>0</v>
      </c>
      <c r="N23" s="152">
        <f>SUM(N21:N22)</f>
        <v>3853570.04</v>
      </c>
      <c r="O23" s="241">
        <f t="shared" si="0"/>
        <v>95000</v>
      </c>
    </row>
    <row r="24" spans="1:15" ht="16.5" customHeight="1" x14ac:dyDescent="0.3">
      <c r="D24" s="16"/>
      <c r="E24" s="227"/>
      <c r="K24" s="20"/>
      <c r="L24" s="20"/>
      <c r="M24" s="20"/>
      <c r="O24" s="241">
        <f t="shared" si="0"/>
        <v>0</v>
      </c>
    </row>
    <row r="25" spans="1:15" ht="16.5" customHeight="1" x14ac:dyDescent="0.3">
      <c r="A25" s="16" t="s">
        <v>205</v>
      </c>
      <c r="D25" s="238"/>
      <c r="E25" s="227"/>
      <c r="K25" s="20"/>
      <c r="L25" s="20"/>
      <c r="M25" s="20"/>
      <c r="O25" s="241">
        <f t="shared" si="0"/>
        <v>0</v>
      </c>
    </row>
    <row r="26" spans="1:15" hidden="1" x14ac:dyDescent="0.3">
      <c r="D26" s="16" t="s">
        <v>204</v>
      </c>
      <c r="E26" s="227"/>
      <c r="G26" s="469">
        <v>4020213000</v>
      </c>
      <c r="I26" s="6">
        <f>VLOOKUP($G26,'FC1-Pre TB 2024'!$C$10:$F$276,4,FALSE)</f>
        <v>0</v>
      </c>
      <c r="K26" s="20"/>
      <c r="L26" s="346">
        <f>VLOOKUP($G26,'Restated FC1-Pre TB 2023'!$C$10:$E$271,3,FALSE)</f>
        <v>0</v>
      </c>
      <c r="M26" s="410">
        <f t="shared" ref="M26:M28" si="4">N26-L26</f>
        <v>0</v>
      </c>
      <c r="N26" s="37">
        <f>VLOOKUP($G26,'Restated FC1-Pre TB 2023'!$C$10:$I$271,7,FALSE)</f>
        <v>0</v>
      </c>
      <c r="O26" s="241">
        <f t="shared" si="0"/>
        <v>0</v>
      </c>
    </row>
    <row r="27" spans="1:15" hidden="1" x14ac:dyDescent="0.3">
      <c r="D27" s="19" t="s">
        <v>120</v>
      </c>
      <c r="E27" s="227"/>
      <c r="G27" s="469">
        <v>4020221099</v>
      </c>
      <c r="I27" s="6">
        <f>VLOOKUP($G27,'FC1-Pre TB 2024'!$C$10:$F$276,4,FALSE)</f>
        <v>0</v>
      </c>
      <c r="K27" s="20"/>
      <c r="L27" s="346">
        <f>VLOOKUP($G27,'Restated FC1-Pre TB 2023'!$C$10:$E$271,3,FALSE)</f>
        <v>0</v>
      </c>
      <c r="M27" s="410">
        <f t="shared" si="4"/>
        <v>0</v>
      </c>
      <c r="N27" s="37">
        <f>VLOOKUP($G27,'Restated FC1-Pre TB 2023'!$C$10:$I$271,7,FALSE)</f>
        <v>0</v>
      </c>
      <c r="O27" s="241">
        <f t="shared" si="0"/>
        <v>0</v>
      </c>
    </row>
    <row r="28" spans="1:15" ht="16.5" hidden="1" customHeight="1" x14ac:dyDescent="0.3">
      <c r="D28" s="16" t="s">
        <v>194</v>
      </c>
      <c r="E28" s="227"/>
      <c r="F28" s="312">
        <v>17.100000000000001</v>
      </c>
      <c r="G28" s="469">
        <v>4069999000</v>
      </c>
      <c r="I28" s="471">
        <f>VLOOKUP($G28,'FC1-Pre TB 2024'!$C$10:$F$276,4,FALSE)</f>
        <v>0</v>
      </c>
      <c r="J28" s="5">
        <f>VLOOKUP($G28,'FC1-Pre TB 2024'!$C$10:$F$276,4,FALSE)</f>
        <v>0</v>
      </c>
      <c r="K28" s="5">
        <f>VLOOKUP($G28,'FC1-Pre TB 2024'!$C$10:$F$276,4,FALSE)</f>
        <v>0</v>
      </c>
      <c r="L28" s="347">
        <f>VLOOKUP($G28,'Restated FC1-Pre TB 2023'!$C$10:$E$271,3,FALSE)</f>
        <v>0</v>
      </c>
      <c r="M28" s="411">
        <f t="shared" si="4"/>
        <v>0</v>
      </c>
      <c r="N28" s="68">
        <f>VLOOKUP($G28,'Restated FC1-Pre TB 2023'!$C$10:$I$271,7,FALSE)</f>
        <v>0</v>
      </c>
      <c r="O28" s="241">
        <f t="shared" si="0"/>
        <v>0</v>
      </c>
    </row>
    <row r="29" spans="1:15" ht="16.5" hidden="1" customHeight="1" x14ac:dyDescent="0.3">
      <c r="D29" s="16" t="s">
        <v>423</v>
      </c>
      <c r="E29" s="227"/>
      <c r="I29" s="155">
        <f>SUM(I26:I28)</f>
        <v>0</v>
      </c>
      <c r="J29" s="49">
        <f t="shared" ref="J29:M29" si="5">SUM(J26:J28)</f>
        <v>0</v>
      </c>
      <c r="K29" s="49">
        <f t="shared" si="5"/>
        <v>0</v>
      </c>
      <c r="L29" s="49">
        <f t="shared" si="5"/>
        <v>0</v>
      </c>
      <c r="M29" s="49">
        <f t="shared" si="5"/>
        <v>0</v>
      </c>
      <c r="N29" s="49">
        <f>SUM(N26:N28)</f>
        <v>0</v>
      </c>
      <c r="O29" s="241">
        <f t="shared" si="0"/>
        <v>0</v>
      </c>
    </row>
    <row r="30" spans="1:15" ht="16.5" hidden="1" customHeight="1" x14ac:dyDescent="0.3">
      <c r="D30" s="16"/>
      <c r="E30" s="227"/>
      <c r="I30" s="230"/>
      <c r="J30" s="4"/>
      <c r="K30" s="20"/>
      <c r="L30" s="20"/>
      <c r="M30" s="20"/>
      <c r="O30" s="241">
        <f t="shared" si="0"/>
        <v>0</v>
      </c>
    </row>
    <row r="31" spans="1:15" x14ac:dyDescent="0.3">
      <c r="D31" s="18" t="s">
        <v>258</v>
      </c>
      <c r="E31" s="228"/>
      <c r="I31" s="154">
        <f>I18+I23+I29</f>
        <v>432600</v>
      </c>
      <c r="J31" s="21">
        <f t="shared" ref="J31:M31" si="6">J18+J23+J29</f>
        <v>0</v>
      </c>
      <c r="K31" s="21">
        <f t="shared" si="6"/>
        <v>0</v>
      </c>
      <c r="L31" s="21">
        <f t="shared" si="6"/>
        <v>4263170.04</v>
      </c>
      <c r="M31" s="21">
        <f t="shared" si="6"/>
        <v>0</v>
      </c>
      <c r="N31" s="21">
        <f t="shared" ref="N31" si="7">N18+N23+N29</f>
        <v>4263170.04</v>
      </c>
      <c r="O31" s="241">
        <f t="shared" si="0"/>
        <v>432600</v>
      </c>
    </row>
    <row r="32" spans="1:15" ht="16.5" customHeight="1" x14ac:dyDescent="0.3">
      <c r="K32" s="22"/>
      <c r="L32" s="22"/>
      <c r="M32" s="22"/>
      <c r="O32" s="241">
        <f t="shared" si="0"/>
        <v>0</v>
      </c>
    </row>
    <row r="33" spans="1:19" ht="20.25" customHeight="1" x14ac:dyDescent="0.3">
      <c r="A33" s="13" t="s">
        <v>255</v>
      </c>
      <c r="B33" s="13"/>
      <c r="C33" s="13"/>
      <c r="N33" s="221"/>
      <c r="O33" s="241">
        <f t="shared" si="0"/>
        <v>0</v>
      </c>
    </row>
    <row r="34" spans="1:19" x14ac:dyDescent="0.3">
      <c r="A34" s="16" t="s">
        <v>256</v>
      </c>
      <c r="F34" s="326">
        <v>17</v>
      </c>
      <c r="N34" s="221"/>
      <c r="O34" s="241">
        <f t="shared" si="0"/>
        <v>0</v>
      </c>
    </row>
    <row r="35" spans="1:19" x14ac:dyDescent="0.3">
      <c r="C35" s="16" t="s">
        <v>293</v>
      </c>
      <c r="F35" s="326">
        <v>17.100000000000001</v>
      </c>
      <c r="N35" s="221"/>
      <c r="O35" s="241">
        <f t="shared" si="0"/>
        <v>0</v>
      </c>
    </row>
    <row r="36" spans="1:19" x14ac:dyDescent="0.3">
      <c r="A36" s="13"/>
      <c r="B36" s="13"/>
      <c r="C36" s="13"/>
      <c r="D36" s="18" t="s">
        <v>122</v>
      </c>
      <c r="G36" s="469">
        <v>5010101001</v>
      </c>
      <c r="I36" s="6">
        <f>VLOOKUP($G36,'FC1-Pre TB 2024'!$C$10:$F$276,4,FALSE)</f>
        <v>60397008.460000001</v>
      </c>
      <c r="L36" s="346">
        <f>VLOOKUP($G36,'Restated FC1-Pre TB 2023'!$C$10:$D$271,2,FALSE)</f>
        <v>56415275.060000002</v>
      </c>
      <c r="M36" s="410">
        <f t="shared" ref="M36:M37" si="8">N36-L36</f>
        <v>0</v>
      </c>
      <c r="N36" s="37">
        <f>VLOOKUP($G36,'Restated FC1-Pre TB 2023'!$C$10:$H$271,6,FALSE)</f>
        <v>56415275.060000002</v>
      </c>
      <c r="O36" s="241">
        <f t="shared" si="0"/>
        <v>60397008.460000001</v>
      </c>
    </row>
    <row r="37" spans="1:19" x14ac:dyDescent="0.3">
      <c r="A37" s="13"/>
      <c r="B37" s="13"/>
      <c r="C37" s="13"/>
      <c r="D37" s="18" t="s">
        <v>123</v>
      </c>
      <c r="G37" s="469">
        <v>5010102000</v>
      </c>
      <c r="I37" s="6">
        <f>VLOOKUP($G37,'FC1-Pre TB 2024'!$C$10:$F$276,4,FALSE)</f>
        <v>702135870.62</v>
      </c>
      <c r="L37" s="346">
        <f>VLOOKUP($G37,'Restated FC1-Pre TB 2023'!$C$10:$D$271,2,FALSE)</f>
        <v>502315650.38</v>
      </c>
      <c r="M37" s="410">
        <f t="shared" si="8"/>
        <v>747982.62999999523</v>
      </c>
      <c r="N37" s="37">
        <f>VLOOKUP($G37,'Restated FC1-Pre TB 2023'!$C$10:$H$271,6,FALSE)</f>
        <v>503063633.00999999</v>
      </c>
      <c r="O37" s="241">
        <f t="shared" si="0"/>
        <v>702135870.62</v>
      </c>
    </row>
    <row r="38" spans="1:19" x14ac:dyDescent="0.3">
      <c r="A38" s="13"/>
      <c r="B38" s="13"/>
      <c r="C38" s="13"/>
      <c r="D38" s="32" t="s">
        <v>294</v>
      </c>
      <c r="I38" s="153">
        <f>SUM(I36:I37)</f>
        <v>762532879.08000004</v>
      </c>
      <c r="J38" s="152">
        <f t="shared" ref="J38:M38" si="9">SUM(J36:J37)</f>
        <v>0</v>
      </c>
      <c r="K38" s="152">
        <f t="shared" si="9"/>
        <v>0</v>
      </c>
      <c r="L38" s="152">
        <f t="shared" si="9"/>
        <v>558730925.44000006</v>
      </c>
      <c r="M38" s="152">
        <f t="shared" si="9"/>
        <v>747982.62999999523</v>
      </c>
      <c r="N38" s="152">
        <f>SUM(N36:N37)</f>
        <v>559478908.06999993</v>
      </c>
      <c r="O38" s="241">
        <f t="shared" si="0"/>
        <v>762532879.08000004</v>
      </c>
    </row>
    <row r="39" spans="1:19" x14ac:dyDescent="0.3">
      <c r="A39" s="13"/>
      <c r="B39" s="13"/>
      <c r="C39" s="13"/>
      <c r="D39" s="18"/>
      <c r="I39" s="230"/>
      <c r="O39" s="241">
        <f t="shared" si="0"/>
        <v>0</v>
      </c>
    </row>
    <row r="40" spans="1:19" x14ac:dyDescent="0.3">
      <c r="A40" s="13"/>
      <c r="B40" s="13"/>
      <c r="C40" s="16" t="s">
        <v>295</v>
      </c>
      <c r="D40" s="18"/>
      <c r="F40" s="326">
        <v>17.2</v>
      </c>
      <c r="I40" s="155"/>
      <c r="N40" s="49"/>
      <c r="O40" s="241">
        <f t="shared" si="0"/>
        <v>0</v>
      </c>
    </row>
    <row r="41" spans="1:19" x14ac:dyDescent="0.3">
      <c r="A41" s="13"/>
      <c r="B41" s="13"/>
      <c r="C41" s="13"/>
      <c r="D41" s="18" t="s">
        <v>124</v>
      </c>
      <c r="G41" s="469">
        <v>5010201001</v>
      </c>
      <c r="I41" s="6">
        <f>VLOOKUP($G41,'FC1-Pre TB 2024'!$C$10:$F$276,4,FALSE)</f>
        <v>2731156.4</v>
      </c>
      <c r="L41" s="346">
        <f>VLOOKUP($G41,'Restated FC1-Pre TB 2023'!$C$10:$D$271,2,FALSE)</f>
        <v>2841340.41</v>
      </c>
      <c r="M41" s="410">
        <f t="shared" ref="M41:M54" si="10">N41-L41</f>
        <v>0</v>
      </c>
      <c r="N41" s="37">
        <f>VLOOKUP($G41,'Restated FC1-Pre TB 2023'!$C$10:$H$271,6,FALSE)</f>
        <v>2841340.41</v>
      </c>
      <c r="O41" s="241">
        <f t="shared" si="0"/>
        <v>2731156.4</v>
      </c>
    </row>
    <row r="42" spans="1:19" ht="16.5" customHeight="1" x14ac:dyDescent="0.3">
      <c r="A42" s="13"/>
      <c r="B42" s="13"/>
      <c r="C42" s="13"/>
      <c r="D42" s="18" t="s">
        <v>125</v>
      </c>
      <c r="G42" s="469">
        <v>5010210001</v>
      </c>
      <c r="I42" s="6">
        <f>VLOOKUP($G42,'FC1-Pre TB 2024'!$C$10:$F$276,4,FALSE)</f>
        <v>3832.21</v>
      </c>
      <c r="L42" s="346">
        <f>VLOOKUP($G42,'Restated FC1-Pre TB 2023'!$C$10:$D$271,2,FALSE)</f>
        <v>0</v>
      </c>
      <c r="M42" s="410">
        <f t="shared" si="10"/>
        <v>0</v>
      </c>
      <c r="N42" s="37">
        <f>VLOOKUP($G42,'Restated FC1-Pre TB 2023'!$C$10:$H$271,6,FALSE)</f>
        <v>0</v>
      </c>
      <c r="O42" s="241">
        <f t="shared" si="0"/>
        <v>3832.21</v>
      </c>
    </row>
    <row r="43" spans="1:19" ht="16.5" customHeight="1" x14ac:dyDescent="0.3">
      <c r="A43" s="13"/>
      <c r="B43" s="13"/>
      <c r="C43" s="13"/>
      <c r="D43" s="18" t="s">
        <v>384</v>
      </c>
      <c r="G43" s="469">
        <v>5010211006</v>
      </c>
      <c r="I43" s="6">
        <f>VLOOKUP($G43,'FC1-Pre TB 2024'!$C$10:$F$276,4,FALSE)</f>
        <v>7262082.9800000004</v>
      </c>
      <c r="L43" s="346">
        <f>VLOOKUP($G43,'Restated FC1-Pre TB 2023'!$C$10:$D$271,2,FALSE)</f>
        <v>321068.76</v>
      </c>
      <c r="M43" s="410">
        <f t="shared" si="10"/>
        <v>0</v>
      </c>
      <c r="N43" s="37">
        <f>VLOOKUP($G43,'Restated FC1-Pre TB 2023'!$C$10:$H$271,6,FALSE)</f>
        <v>321068.76</v>
      </c>
      <c r="O43" s="241">
        <f t="shared" si="0"/>
        <v>7262082.9800000004</v>
      </c>
    </row>
    <row r="44" spans="1:19" ht="16.5" customHeight="1" x14ac:dyDescent="0.3">
      <c r="A44" s="13"/>
      <c r="B44" s="13"/>
      <c r="C44" s="13"/>
      <c r="D44" s="18" t="s">
        <v>126</v>
      </c>
      <c r="G44" s="469">
        <v>5010211002</v>
      </c>
      <c r="I44" s="6">
        <f>VLOOKUP($G44,'FC1-Pre TB 2024'!$C$10:$F$276,4,FALSE)</f>
        <v>5243173.3</v>
      </c>
      <c r="L44" s="346">
        <f>VLOOKUP($G44,'Restated FC1-Pre TB 2023'!$C$10:$D$271,2,FALSE)</f>
        <v>0</v>
      </c>
      <c r="M44" s="410">
        <f t="shared" si="10"/>
        <v>0</v>
      </c>
      <c r="N44" s="37">
        <f>VLOOKUP($G44,'Restated FC1-Pre TB 2023'!$C$10:$H$271,6,FALSE)</f>
        <v>0</v>
      </c>
      <c r="O44" s="241">
        <f t="shared" si="0"/>
        <v>5243173.3</v>
      </c>
    </row>
    <row r="45" spans="1:19" ht="16.5" customHeight="1" x14ac:dyDescent="0.3">
      <c r="A45" s="13"/>
      <c r="B45" s="13"/>
      <c r="C45" s="13"/>
      <c r="D45" s="18" t="s">
        <v>127</v>
      </c>
      <c r="G45" s="469">
        <v>5010212001</v>
      </c>
      <c r="I45" s="6">
        <f>VLOOKUP($G45,'FC1-Pre TB 2024'!$C$10:$F$276,4,FALSE)</f>
        <v>0</v>
      </c>
      <c r="L45" s="346">
        <f>VLOOKUP($G45,'Restated FC1-Pre TB 2023'!$C$10:$D$271,2,FALSE)</f>
        <v>175000</v>
      </c>
      <c r="M45" s="410">
        <f t="shared" si="10"/>
        <v>0</v>
      </c>
      <c r="N45" s="37">
        <f>VLOOKUP($G45,'Restated FC1-Pre TB 2023'!$C$10:$H$271,6,FALSE)</f>
        <v>175000</v>
      </c>
      <c r="O45" s="241">
        <f t="shared" si="0"/>
        <v>0</v>
      </c>
    </row>
    <row r="46" spans="1:19" x14ac:dyDescent="0.3">
      <c r="A46" s="13"/>
      <c r="B46" s="13"/>
      <c r="C46" s="13"/>
      <c r="D46" s="18" t="s">
        <v>38</v>
      </c>
      <c r="G46" s="469">
        <v>5010202000</v>
      </c>
      <c r="I46" s="6">
        <f>VLOOKUP($G46,'FC1-Pre TB 2024'!$C$10:$F$276,4,FALSE)</f>
        <v>527000</v>
      </c>
      <c r="L46" s="346">
        <f>VLOOKUP($G46,'Restated FC1-Pre TB 2023'!$C$10:$D$271,2,FALSE)</f>
        <v>418500</v>
      </c>
      <c r="M46" s="410">
        <f t="shared" si="10"/>
        <v>0</v>
      </c>
      <c r="N46" s="37">
        <f>VLOOKUP($G46,'Restated FC1-Pre TB 2023'!$C$10:$H$271,6,FALSE)</f>
        <v>418500</v>
      </c>
      <c r="O46" s="241">
        <f t="shared" si="0"/>
        <v>527000</v>
      </c>
    </row>
    <row r="47" spans="1:19" x14ac:dyDescent="0.3">
      <c r="A47" s="13"/>
      <c r="B47" s="13"/>
      <c r="C47" s="13"/>
      <c r="D47" s="18" t="s">
        <v>39</v>
      </c>
      <c r="G47" s="469">
        <v>5010203001</v>
      </c>
      <c r="I47" s="6">
        <f>VLOOKUP($G47,'FC1-Pre TB 2024'!$C$10:$F$276,4,FALSE)</f>
        <v>527000</v>
      </c>
      <c r="L47" s="346">
        <f>VLOOKUP($G47,'Restated FC1-Pre TB 2023'!$C$10:$D$271,2,FALSE)</f>
        <v>418500</v>
      </c>
      <c r="M47" s="410">
        <f t="shared" si="10"/>
        <v>0</v>
      </c>
      <c r="N47" s="37">
        <f>VLOOKUP($G47,'Restated FC1-Pre TB 2023'!$C$10:$H$271,6,FALSE)</f>
        <v>418500</v>
      </c>
      <c r="O47" s="241">
        <f t="shared" si="0"/>
        <v>527000</v>
      </c>
      <c r="R47" s="242"/>
      <c r="S47" s="243"/>
    </row>
    <row r="48" spans="1:19" x14ac:dyDescent="0.3">
      <c r="A48" s="13"/>
      <c r="B48" s="13"/>
      <c r="C48" s="13"/>
      <c r="D48" s="18" t="s">
        <v>40</v>
      </c>
      <c r="G48" s="469">
        <v>5010204001</v>
      </c>
      <c r="I48" s="6">
        <f>VLOOKUP($G48,'FC1-Pre TB 2024'!$C$10:$F$276,4,FALSE)</f>
        <v>1463000</v>
      </c>
      <c r="L48" s="346">
        <f>VLOOKUP($G48,'Restated FC1-Pre TB 2023'!$C$10:$D$271,2,FALSE)</f>
        <v>768000</v>
      </c>
      <c r="M48" s="410">
        <f t="shared" si="10"/>
        <v>0</v>
      </c>
      <c r="N48" s="37">
        <f>VLOOKUP($G48,'Restated FC1-Pre TB 2023'!$C$10:$H$271,6,FALSE)</f>
        <v>768000</v>
      </c>
      <c r="O48" s="241">
        <f t="shared" si="0"/>
        <v>1463000</v>
      </c>
      <c r="R48" s="242"/>
      <c r="S48" s="243"/>
    </row>
    <row r="49" spans="1:21" s="256" customFormat="1" ht="49.5" hidden="1" x14ac:dyDescent="0.3">
      <c r="A49" s="250"/>
      <c r="B49" s="250"/>
      <c r="C49" s="250"/>
      <c r="D49" s="251" t="s">
        <v>128</v>
      </c>
      <c r="E49" s="252"/>
      <c r="F49" s="472"/>
      <c r="G49" s="473">
        <v>5010205003</v>
      </c>
      <c r="H49" s="474"/>
      <c r="I49" s="6">
        <f>VLOOKUP($G49,'FC1-Pre TB 2024'!$C$10:$F$276,4,FALSE)</f>
        <v>0</v>
      </c>
      <c r="J49" s="253"/>
      <c r="K49" s="253"/>
      <c r="L49" s="346">
        <f>VLOOKUP($G49,'Restated FC1-Pre TB 2023'!$C$10:$D$271,2,FALSE)</f>
        <v>0</v>
      </c>
      <c r="M49" s="410">
        <f t="shared" si="10"/>
        <v>0</v>
      </c>
      <c r="N49" s="37">
        <f>VLOOKUP($G49,'Restated FC1-Pre TB 2023'!$C$10:$H$271,6,FALSE)</f>
        <v>0</v>
      </c>
      <c r="O49" s="254">
        <f t="shared" si="0"/>
        <v>0</v>
      </c>
      <c r="P49" s="255">
        <f>SUM(I49:I50)</f>
        <v>386175</v>
      </c>
      <c r="Q49" s="255"/>
      <c r="R49" s="244"/>
      <c r="S49" s="257"/>
      <c r="T49" s="255"/>
      <c r="U49" s="255"/>
    </row>
    <row r="50" spans="1:21" s="256" customFormat="1" ht="49.5" x14ac:dyDescent="0.3">
      <c r="A50" s="250"/>
      <c r="B50" s="250"/>
      <c r="C50" s="250"/>
      <c r="D50" s="251" t="s">
        <v>129</v>
      </c>
      <c r="E50" s="252"/>
      <c r="F50" s="472"/>
      <c r="G50" s="473">
        <v>5010205004</v>
      </c>
      <c r="H50" s="474"/>
      <c r="I50" s="230">
        <f>VLOOKUP($G50,'FC1-Pre TB 2024'!$C$10:$F$276,4,FALSE)</f>
        <v>386175</v>
      </c>
      <c r="J50" s="253"/>
      <c r="K50" s="253"/>
      <c r="L50" s="346">
        <f>VLOOKUP($G50,'Restated FC1-Pre TB 2023'!$C$10:$D$271,2,FALSE)</f>
        <v>177350</v>
      </c>
      <c r="M50" s="410">
        <f t="shared" si="10"/>
        <v>0</v>
      </c>
      <c r="N50" s="37">
        <f>VLOOKUP($G50,'Restated FC1-Pre TB 2023'!$C$10:$H$271,6,FALSE)</f>
        <v>177350</v>
      </c>
      <c r="O50" s="254">
        <f t="shared" si="0"/>
        <v>386175</v>
      </c>
      <c r="P50" s="255"/>
      <c r="Q50" s="255"/>
      <c r="R50" s="244"/>
      <c r="S50" s="257"/>
      <c r="T50" s="255"/>
      <c r="U50" s="255"/>
    </row>
    <row r="51" spans="1:21" ht="49.5" hidden="1" x14ac:dyDescent="0.3">
      <c r="A51" s="13"/>
      <c r="B51" s="13"/>
      <c r="C51" s="13"/>
      <c r="D51" s="515" t="s">
        <v>371</v>
      </c>
      <c r="G51" s="469">
        <v>5010206003</v>
      </c>
      <c r="I51" s="230">
        <f>VLOOKUP($G51,'FC1-Pre TB 2024'!$C$10:$F$276,4,FALSE)</f>
        <v>0</v>
      </c>
      <c r="L51" s="346">
        <f>VLOOKUP($G51,'Restated FC1-Pre TB 2023'!$C$10:$D$271,2,FALSE)</f>
        <v>0</v>
      </c>
      <c r="M51" s="410">
        <f t="shared" si="10"/>
        <v>0</v>
      </c>
      <c r="N51" s="37">
        <f>VLOOKUP($G51,'Restated FC1-Pre TB 2023'!$C$10:$H$271,6,FALSE)</f>
        <v>0</v>
      </c>
      <c r="O51" s="241">
        <f t="shared" si="0"/>
        <v>0</v>
      </c>
      <c r="R51" s="244"/>
      <c r="S51" s="243"/>
    </row>
    <row r="52" spans="1:21" ht="49.5" hidden="1" x14ac:dyDescent="0.3">
      <c r="A52" s="13"/>
      <c r="B52" s="13"/>
      <c r="C52" s="13"/>
      <c r="D52" s="515" t="s">
        <v>130</v>
      </c>
      <c r="G52" s="469">
        <v>5010206004</v>
      </c>
      <c r="I52" s="6">
        <f>VLOOKUP($G52,'FC1-Pre TB 2024'!$C$10:$F$276,4,FALSE)</f>
        <v>3600</v>
      </c>
      <c r="L52" s="346">
        <f>VLOOKUP($G52,'Restated FC1-Pre TB 2023'!$C$10:$D$271,2,FALSE)</f>
        <v>0</v>
      </c>
      <c r="M52" s="410">
        <f t="shared" si="10"/>
        <v>0</v>
      </c>
      <c r="N52" s="37">
        <f>VLOOKUP($G52,'Restated FC1-Pre TB 2023'!$C$10:$H$271,6,FALSE)</f>
        <v>0</v>
      </c>
      <c r="O52" s="241">
        <f t="shared" si="0"/>
        <v>3600</v>
      </c>
      <c r="R52" s="244"/>
      <c r="S52" s="243"/>
    </row>
    <row r="53" spans="1:21" hidden="1" x14ac:dyDescent="0.3">
      <c r="A53" s="13"/>
      <c r="B53" s="13"/>
      <c r="C53" s="13"/>
      <c r="D53" s="18" t="s">
        <v>131</v>
      </c>
      <c r="G53" s="469">
        <v>5010207004</v>
      </c>
      <c r="I53" s="6">
        <f>VLOOKUP($G53,'FC1-Pre TB 2024'!$C$10:$F$276,4,FALSE)</f>
        <v>0</v>
      </c>
      <c r="L53" s="346">
        <f>VLOOKUP($G53,'Restated FC1-Pre TB 2023'!$C$10:$D$271,2,FALSE)</f>
        <v>0</v>
      </c>
      <c r="M53" s="410">
        <f t="shared" si="10"/>
        <v>0</v>
      </c>
      <c r="N53" s="37">
        <f>VLOOKUP($G53,'Restated FC1-Pre TB 2023'!$C$10:$H$271,6,FALSE)</f>
        <v>0</v>
      </c>
      <c r="O53" s="241">
        <f t="shared" si="0"/>
        <v>0</v>
      </c>
      <c r="R53" s="244"/>
      <c r="S53" s="243"/>
    </row>
    <row r="54" spans="1:21" hidden="1" x14ac:dyDescent="0.3">
      <c r="A54" s="13"/>
      <c r="B54" s="13"/>
      <c r="C54" s="13"/>
      <c r="D54" s="18" t="s">
        <v>132</v>
      </c>
      <c r="G54" s="469">
        <v>5010208001</v>
      </c>
      <c r="I54" s="230">
        <f>VLOOKUP($G54,'FC1-Pre TB 2024'!$C$10:$F$276,4,FALSE)</f>
        <v>0</v>
      </c>
      <c r="L54" s="346">
        <f>VLOOKUP($G54,'Restated FC1-Pre TB 2023'!$C$10:$D$271,2,FALSE)</f>
        <v>0</v>
      </c>
      <c r="M54" s="410">
        <f t="shared" si="10"/>
        <v>0</v>
      </c>
      <c r="N54" s="37">
        <f>VLOOKUP($G54,'Restated FC1-Pre TB 2023'!$C$10:$H$271,6,FALSE)</f>
        <v>0</v>
      </c>
      <c r="O54" s="241">
        <f t="shared" si="0"/>
        <v>0</v>
      </c>
      <c r="R54" s="244"/>
      <c r="S54" s="243"/>
    </row>
    <row r="55" spans="1:21" x14ac:dyDescent="0.3">
      <c r="A55" s="13"/>
      <c r="B55" s="13"/>
      <c r="C55" s="13"/>
      <c r="D55" s="32" t="s">
        <v>478</v>
      </c>
      <c r="I55" s="338">
        <f>SUM(I41:I54)</f>
        <v>18147019.890000001</v>
      </c>
      <c r="J55" s="156">
        <f t="shared" ref="J55:M55" si="11">SUM(J41:J54)</f>
        <v>0</v>
      </c>
      <c r="K55" s="156">
        <f t="shared" si="11"/>
        <v>0</v>
      </c>
      <c r="L55" s="156">
        <f t="shared" si="11"/>
        <v>5119759.17</v>
      </c>
      <c r="M55" s="156">
        <f t="shared" si="11"/>
        <v>0</v>
      </c>
      <c r="N55" s="156">
        <f>SUM(N41:N54)</f>
        <v>5119759.17</v>
      </c>
      <c r="O55" s="241"/>
      <c r="R55" s="244"/>
      <c r="S55" s="243"/>
    </row>
    <row r="56" spans="1:21" x14ac:dyDescent="0.3">
      <c r="A56" s="13"/>
      <c r="B56" s="13"/>
      <c r="C56" s="13"/>
      <c r="D56" s="18"/>
      <c r="O56" s="241"/>
      <c r="R56" s="244"/>
      <c r="S56" s="243"/>
    </row>
    <row r="57" spans="1:21" x14ac:dyDescent="0.3">
      <c r="A57" s="13"/>
      <c r="B57" s="13"/>
      <c r="C57" s="16" t="s">
        <v>213</v>
      </c>
      <c r="D57" s="18"/>
      <c r="F57" s="326">
        <v>17.3</v>
      </c>
      <c r="O57" s="241"/>
      <c r="R57" s="244"/>
      <c r="S57" s="243"/>
    </row>
    <row r="58" spans="1:21" x14ac:dyDescent="0.3">
      <c r="A58" s="13"/>
      <c r="B58" s="13"/>
      <c r="C58" s="13"/>
      <c r="D58" s="18" t="s">
        <v>133</v>
      </c>
      <c r="G58" s="469">
        <v>5010299011</v>
      </c>
      <c r="I58" s="6">
        <f>VLOOKUP($G58,'FC1-Pre TB 2024'!$C$10:$F$276,4,FALSE)</f>
        <v>39625631.82</v>
      </c>
      <c r="L58" s="346">
        <f>VLOOKUP($G58,'Restated FC1-Pre TB 2023'!$C$10:$D$271,2,FALSE)</f>
        <v>30237032.579999998</v>
      </c>
      <c r="N58" s="37">
        <f>VLOOKUP($G58,'Restated FC1-Pre TB 2023'!$C$10:$H$271,6,FALSE)</f>
        <v>30237032.579999998</v>
      </c>
      <c r="O58" s="241">
        <f t="shared" si="0"/>
        <v>39625631.82</v>
      </c>
      <c r="R58" s="244"/>
      <c r="S58" s="243"/>
    </row>
    <row r="59" spans="1:21" x14ac:dyDescent="0.3">
      <c r="D59" s="18" t="s">
        <v>134</v>
      </c>
      <c r="E59" s="228"/>
      <c r="G59" s="469">
        <v>5010299012</v>
      </c>
      <c r="I59" s="6">
        <f>VLOOKUP($G59,'FC1-Pre TB 2024'!$C$10:$F$276,4,FALSE)</f>
        <v>641000</v>
      </c>
      <c r="L59" s="346">
        <f>VLOOKUP($G59,'Restated FC1-Pre TB 2023'!$C$10:$D$271,2,FALSE)</f>
        <v>660094.25</v>
      </c>
      <c r="N59" s="37">
        <f>VLOOKUP($G59,'Restated FC1-Pre TB 2023'!$C$10:$H$271,6,FALSE)</f>
        <v>660094.25</v>
      </c>
      <c r="O59" s="241">
        <f t="shared" si="0"/>
        <v>641000</v>
      </c>
      <c r="R59" s="244"/>
      <c r="S59" s="243"/>
    </row>
    <row r="60" spans="1:21" x14ac:dyDescent="0.3">
      <c r="D60" s="18" t="s">
        <v>135</v>
      </c>
      <c r="E60" s="228"/>
      <c r="G60" s="469">
        <v>5010299014</v>
      </c>
      <c r="I60" s="6">
        <f>VLOOKUP($G60,'FC1-Pre TB 2024'!$C$10:$F$276,4,FALSE)</f>
        <v>15619337.939999999</v>
      </c>
      <c r="L60" s="346">
        <f>VLOOKUP($G60,'Restated FC1-Pre TB 2023'!$C$10:$D$271,2,FALSE)</f>
        <v>15159512.119999999</v>
      </c>
      <c r="N60" s="37">
        <f>VLOOKUP($G60,'Restated FC1-Pre TB 2023'!$C$10:$H$271,6,FALSE)</f>
        <v>15159512.119999999</v>
      </c>
      <c r="O60" s="241">
        <f t="shared" si="0"/>
        <v>15619337.939999999</v>
      </c>
      <c r="R60" s="244"/>
      <c r="S60" s="243"/>
    </row>
    <row r="61" spans="1:21" x14ac:dyDescent="0.3">
      <c r="D61" s="18" t="s">
        <v>381</v>
      </c>
      <c r="E61" s="228"/>
      <c r="G61" s="469">
        <v>5010216001</v>
      </c>
      <c r="I61" s="6">
        <f>VLOOKUP($G61,'FC1-Pre TB 2024'!$C$10:$F$276,4,FALSE)</f>
        <v>4628561</v>
      </c>
      <c r="L61" s="346">
        <f>VLOOKUP($G61,'Restated FC1-Pre TB 2023'!$C$10:$D$271,2,FALSE)</f>
        <v>4481260</v>
      </c>
      <c r="N61" s="37">
        <f>VLOOKUP($G61,'Restated FC1-Pre TB 2023'!$C$10:$H$271,6,FALSE)</f>
        <v>4481260</v>
      </c>
      <c r="O61" s="241">
        <f t="shared" si="0"/>
        <v>4628561</v>
      </c>
      <c r="R61" s="244"/>
      <c r="S61" s="243"/>
    </row>
    <row r="62" spans="1:21" x14ac:dyDescent="0.3">
      <c r="D62" s="18" t="s">
        <v>404</v>
      </c>
      <c r="E62" s="228"/>
      <c r="G62" s="469">
        <v>5010299038</v>
      </c>
      <c r="I62" s="6">
        <f>VLOOKUP($G62,'FC1-Pre TB 2024'!$C$10:$F$276,4,FALSE)</f>
        <v>0</v>
      </c>
      <c r="L62" s="346">
        <f>VLOOKUP($G62,'Restated FC1-Pre TB 2023'!$C$10:$D$271,2,FALSE)</f>
        <v>0</v>
      </c>
      <c r="N62" s="37">
        <f>VLOOKUP($G62,'Restated FC1-Pre TB 2023'!$C$10:$H$271,6,FALSE)</f>
        <v>0</v>
      </c>
      <c r="O62" s="241"/>
      <c r="R62" s="244"/>
      <c r="S62" s="243"/>
    </row>
    <row r="63" spans="1:21" x14ac:dyDescent="0.3">
      <c r="D63" s="18" t="s">
        <v>479</v>
      </c>
      <c r="E63" s="228"/>
      <c r="I63" s="338">
        <f>SUM(I58:I62)</f>
        <v>60514530.759999998</v>
      </c>
      <c r="J63" s="156">
        <f t="shared" ref="J63:M63" si="12">SUM(J58:J62)</f>
        <v>0</v>
      </c>
      <c r="K63" s="156">
        <f t="shared" si="12"/>
        <v>0</v>
      </c>
      <c r="L63" s="156">
        <f t="shared" si="12"/>
        <v>50537898.949999996</v>
      </c>
      <c r="M63" s="156">
        <f t="shared" si="12"/>
        <v>0</v>
      </c>
      <c r="N63" s="156">
        <f>SUM(N58:N62)</f>
        <v>50537898.949999996</v>
      </c>
      <c r="O63" s="241"/>
      <c r="R63" s="244"/>
      <c r="S63" s="243"/>
    </row>
    <row r="64" spans="1:21" x14ac:dyDescent="0.3">
      <c r="D64" s="18"/>
      <c r="E64" s="228"/>
      <c r="I64" s="475"/>
      <c r="N64" s="57"/>
      <c r="O64" s="241"/>
      <c r="R64" s="244"/>
      <c r="S64" s="243"/>
    </row>
    <row r="65" spans="1:19" hidden="1" x14ac:dyDescent="0.3">
      <c r="C65" s="16" t="s">
        <v>214</v>
      </c>
      <c r="D65" s="18"/>
      <c r="E65" s="228"/>
      <c r="I65" s="155"/>
      <c r="J65" s="4"/>
      <c r="K65" s="22"/>
      <c r="L65" s="22"/>
      <c r="M65" s="22"/>
      <c r="N65" s="57"/>
      <c r="O65" s="241"/>
      <c r="R65" s="244"/>
      <c r="S65" s="243"/>
    </row>
    <row r="66" spans="1:19" hidden="1" x14ac:dyDescent="0.3">
      <c r="D66" s="18" t="s">
        <v>136</v>
      </c>
      <c r="E66" s="228"/>
      <c r="G66" s="469">
        <v>5010213001</v>
      </c>
      <c r="I66" s="230">
        <f>VLOOKUP($G66,'FC1-Pre TB 2024'!$C$10:$F$276,4,FALSE)</f>
        <v>0</v>
      </c>
      <c r="J66" s="4"/>
      <c r="K66" s="22"/>
      <c r="L66" s="346">
        <f>VLOOKUP($G66,'Restated FC1-Pre TB 2023'!$C$10:$D$271,2,FALSE)</f>
        <v>0</v>
      </c>
      <c r="M66" s="4">
        <f>VLOOKUP($G66,'FC1-Pre TB 2024'!$C$10:$F$276,4,FALSE)</f>
        <v>0</v>
      </c>
      <c r="N66" s="37">
        <f>VLOOKUP($G66,'Restated FC1-Pre TB 2023'!$C$10:$H$271,6,FALSE)</f>
        <v>0</v>
      </c>
      <c r="O66" s="241">
        <f t="shared" si="0"/>
        <v>0</v>
      </c>
      <c r="R66" s="244"/>
      <c r="S66" s="243"/>
    </row>
    <row r="67" spans="1:19" hidden="1" x14ac:dyDescent="0.3">
      <c r="D67" s="18" t="s">
        <v>368</v>
      </c>
      <c r="E67" s="228"/>
      <c r="G67" s="469">
        <v>5010213002</v>
      </c>
      <c r="I67" s="471">
        <f>VLOOKUP($G67,'FC1-Pre TB 2024'!$C$10:$F$276,4,FALSE)</f>
        <v>0</v>
      </c>
      <c r="J67" s="5">
        <f>VLOOKUP($G67,'FC1-Pre TB 2024'!$C$10:$F$276,4,FALSE)</f>
        <v>0</v>
      </c>
      <c r="K67" s="5">
        <f>VLOOKUP($G67,'FC1-Pre TB 2024'!$C$10:$F$276,4,FALSE)</f>
        <v>0</v>
      </c>
      <c r="L67" s="347">
        <f>VLOOKUP($G67,'Restated FC1-Pre TB 2023'!$C$10:$D$271,2,FALSE)</f>
        <v>0</v>
      </c>
      <c r="M67" s="5">
        <f>VLOOKUP($G67,'FC1-Pre TB 2024'!$C$10:$F$276,4,FALSE)</f>
        <v>0</v>
      </c>
      <c r="N67" s="68">
        <f>VLOOKUP($G67,'Restated FC1-Pre TB 2023'!$C$10:$H$271,6,FALSE)</f>
        <v>0</v>
      </c>
      <c r="O67" s="241">
        <f t="shared" si="0"/>
        <v>0</v>
      </c>
      <c r="R67" s="244"/>
      <c r="S67" s="243"/>
    </row>
    <row r="68" spans="1:19" hidden="1" x14ac:dyDescent="0.3">
      <c r="D68" s="18" t="s">
        <v>480</v>
      </c>
      <c r="E68" s="228"/>
      <c r="I68" s="475">
        <f>I66+I67</f>
        <v>0</v>
      </c>
      <c r="J68" s="57">
        <f t="shared" ref="J68:L68" si="13">J66+J67</f>
        <v>0</v>
      </c>
      <c r="K68" s="57">
        <f t="shared" si="13"/>
        <v>0</v>
      </c>
      <c r="L68" s="57">
        <f t="shared" si="13"/>
        <v>0</v>
      </c>
      <c r="M68" s="57">
        <f>M66+M67</f>
        <v>0</v>
      </c>
      <c r="N68" s="57">
        <f>N66+N67</f>
        <v>0</v>
      </c>
      <c r="O68" s="241"/>
      <c r="R68" s="244"/>
      <c r="S68" s="243"/>
    </row>
    <row r="69" spans="1:19" x14ac:dyDescent="0.3">
      <c r="D69" s="18"/>
      <c r="E69" s="228"/>
      <c r="I69" s="475"/>
      <c r="N69" s="57"/>
      <c r="O69" s="241"/>
      <c r="R69" s="244"/>
      <c r="S69" s="243"/>
    </row>
    <row r="70" spans="1:19" x14ac:dyDescent="0.3">
      <c r="C70" s="16" t="s">
        <v>41</v>
      </c>
      <c r="D70" s="18"/>
      <c r="E70" s="228"/>
      <c r="L70" s="22"/>
      <c r="O70" s="241"/>
      <c r="R70" s="244"/>
      <c r="S70" s="243"/>
    </row>
    <row r="71" spans="1:19" x14ac:dyDescent="0.3">
      <c r="D71" s="23" t="s">
        <v>473</v>
      </c>
      <c r="E71" s="228"/>
      <c r="G71" s="469">
        <v>5010215001</v>
      </c>
      <c r="I71" s="475">
        <f>VLOOKUP($G71,'FC1-Pre TB 2024'!$C$10:$F$276,4,FALSE)</f>
        <v>635000</v>
      </c>
      <c r="L71" s="346">
        <f>VLOOKUP($G71,'Restated FC1-Pre TB 2023'!$C$10:$D$271,2,FALSE)</f>
        <v>642000</v>
      </c>
      <c r="M71" s="410">
        <f t="shared" ref="M71" si="14">N71-L71</f>
        <v>0</v>
      </c>
      <c r="N71" s="37">
        <f>VLOOKUP($G71,'Restated FC1-Pre TB 2023'!$C$10:$H$271,6,FALSE)</f>
        <v>642000</v>
      </c>
      <c r="O71" s="241">
        <f t="shared" si="0"/>
        <v>635000</v>
      </c>
      <c r="R71" s="244"/>
      <c r="S71" s="243"/>
    </row>
    <row r="72" spans="1:19" x14ac:dyDescent="0.3">
      <c r="D72" s="23"/>
      <c r="E72" s="228"/>
      <c r="I72" s="475"/>
      <c r="L72" s="22"/>
      <c r="O72" s="241"/>
      <c r="R72" s="244"/>
      <c r="S72" s="243"/>
    </row>
    <row r="73" spans="1:19" x14ac:dyDescent="0.3">
      <c r="C73" s="16" t="s">
        <v>96</v>
      </c>
      <c r="D73" s="23"/>
      <c r="E73" s="228"/>
      <c r="I73" s="475"/>
      <c r="L73" s="22"/>
      <c r="O73" s="241"/>
      <c r="R73" s="244"/>
      <c r="S73" s="243"/>
    </row>
    <row r="74" spans="1:19" x14ac:dyDescent="0.3">
      <c r="D74" s="18" t="s">
        <v>96</v>
      </c>
      <c r="E74" s="228"/>
      <c r="G74" s="469">
        <v>5010214001</v>
      </c>
      <c r="I74" s="475">
        <f>VLOOKUP($G74,'FC1-Pre TB 2024'!$C$10:$F$276,4,FALSE)</f>
        <v>4722151.95</v>
      </c>
      <c r="L74" s="346">
        <f>VLOOKUP($G74,'Restated FC1-Pre TB 2023'!$C$10:$D$271,2,FALSE)</f>
        <v>4691926.8</v>
      </c>
      <c r="M74" s="410">
        <f t="shared" ref="M74" si="15">N74-L74</f>
        <v>0</v>
      </c>
      <c r="N74" s="37">
        <f>VLOOKUP($G74,'Restated FC1-Pre TB 2023'!$C$10:$H$271,6,FALSE)</f>
        <v>4691926.8</v>
      </c>
      <c r="O74" s="241">
        <f t="shared" si="0"/>
        <v>4722151.95</v>
      </c>
      <c r="R74" s="244"/>
      <c r="S74" s="243"/>
    </row>
    <row r="75" spans="1:19" x14ac:dyDescent="0.3">
      <c r="O75" s="241">
        <f t="shared" si="0"/>
        <v>0</v>
      </c>
      <c r="R75" s="244"/>
      <c r="S75" s="243"/>
    </row>
    <row r="76" spans="1:19" x14ac:dyDescent="0.3">
      <c r="B76" s="238"/>
      <c r="C76" s="238"/>
      <c r="D76" s="13" t="s">
        <v>476</v>
      </c>
      <c r="E76" s="228"/>
      <c r="I76" s="155">
        <f>I74+I71+I68+I63+I55</f>
        <v>84018702.599999994</v>
      </c>
      <c r="J76" s="49">
        <f t="shared" ref="J76:N76" si="16">J74+J71+J68+J63+J55</f>
        <v>0</v>
      </c>
      <c r="K76" s="49">
        <f t="shared" si="16"/>
        <v>0</v>
      </c>
      <c r="L76" s="49">
        <f t="shared" si="16"/>
        <v>60991584.919999994</v>
      </c>
      <c r="M76" s="49">
        <f t="shared" si="16"/>
        <v>0</v>
      </c>
      <c r="N76" s="49">
        <f t="shared" si="16"/>
        <v>60991584.919999994</v>
      </c>
      <c r="O76" s="241" t="e">
        <f>#REF!</f>
        <v>#REF!</v>
      </c>
      <c r="R76" s="244"/>
      <c r="S76" s="243"/>
    </row>
    <row r="77" spans="1:19" x14ac:dyDescent="0.3">
      <c r="D77" s="16"/>
      <c r="E77" s="228"/>
      <c r="I77" s="210"/>
      <c r="N77" s="49"/>
      <c r="O77" s="241"/>
      <c r="R77" s="244"/>
      <c r="S77" s="243"/>
    </row>
    <row r="78" spans="1:19" x14ac:dyDescent="0.3">
      <c r="C78" s="16" t="s">
        <v>296</v>
      </c>
      <c r="D78" s="18"/>
      <c r="E78" s="228"/>
      <c r="F78" s="326">
        <v>17.399999999999999</v>
      </c>
      <c r="O78" s="241">
        <f t="shared" si="0"/>
        <v>0</v>
      </c>
      <c r="R78" s="244"/>
      <c r="S78" s="243"/>
    </row>
    <row r="79" spans="1:19" x14ac:dyDescent="0.3">
      <c r="A79" s="2"/>
      <c r="B79" s="2"/>
      <c r="C79" s="2"/>
      <c r="D79" s="18" t="s">
        <v>137</v>
      </c>
      <c r="E79" s="228"/>
      <c r="G79" s="469">
        <v>5010301000</v>
      </c>
      <c r="I79" s="6">
        <f>VLOOKUP($G79,'FC1-Pre TB 2024'!$C$10:$F$276,4,FALSE)</f>
        <v>7223768.71</v>
      </c>
      <c r="L79" s="346">
        <f>VLOOKUP($G79,'Restated FC1-Pre TB 2023'!$C$10:$D$271,2,FALSE)</f>
        <v>6757112.4900000002</v>
      </c>
      <c r="M79" s="410">
        <f t="shared" ref="M79:M89" si="17">N79-L79</f>
        <v>0</v>
      </c>
      <c r="N79" s="37">
        <f>VLOOKUP($G79,'Restated FC1-Pre TB 2023'!$C$10:$H$271,6,FALSE)</f>
        <v>6757112.4900000002</v>
      </c>
      <c r="O79" s="241">
        <f t="shared" si="0"/>
        <v>7223768.71</v>
      </c>
      <c r="R79" s="244"/>
      <c r="S79" s="243"/>
    </row>
    <row r="80" spans="1:19" x14ac:dyDescent="0.3">
      <c r="A80" s="2"/>
      <c r="B80" s="2"/>
      <c r="C80" s="2"/>
      <c r="D80" s="18" t="s">
        <v>138</v>
      </c>
      <c r="E80" s="228"/>
      <c r="G80" s="469">
        <v>5010302001</v>
      </c>
      <c r="I80" s="6">
        <f>VLOOKUP($G80,'FC1-Pre TB 2024'!$C$10:$F$276,4,FALSE)</f>
        <v>267600</v>
      </c>
      <c r="L80" s="346">
        <f>VLOOKUP($G80,'Restated FC1-Pre TB 2023'!$C$10:$D$271,2,FALSE)</f>
        <v>115200</v>
      </c>
      <c r="M80" s="410">
        <f t="shared" si="17"/>
        <v>0</v>
      </c>
      <c r="N80" s="37">
        <f>VLOOKUP($G80,'Restated FC1-Pre TB 2023'!$C$10:$H$271,6,FALSE)</f>
        <v>115200</v>
      </c>
      <c r="O80" s="241">
        <f t="shared" si="0"/>
        <v>267600</v>
      </c>
      <c r="R80" s="244"/>
      <c r="S80" s="243"/>
    </row>
    <row r="81" spans="1:19" x14ac:dyDescent="0.3">
      <c r="A81" s="2"/>
      <c r="B81" s="2"/>
      <c r="C81" s="2"/>
      <c r="D81" s="18" t="s">
        <v>139</v>
      </c>
      <c r="E81" s="228"/>
      <c r="G81" s="469">
        <v>5010303001</v>
      </c>
      <c r="I81" s="6">
        <f>VLOOKUP($G81,'FC1-Pre TB 2024'!$C$10:$F$276,4,FALSE)</f>
        <v>1402493.36</v>
      </c>
      <c r="L81" s="346">
        <f>VLOOKUP($G81,'Restated FC1-Pre TB 2023'!$C$10:$D$271,2,FALSE)</f>
        <v>1059802.68</v>
      </c>
      <c r="M81" s="410">
        <f t="shared" si="17"/>
        <v>0</v>
      </c>
      <c r="N81" s="37">
        <f>VLOOKUP($G81,'Restated FC1-Pre TB 2023'!$C$10:$H$271,6,FALSE)</f>
        <v>1059802.68</v>
      </c>
      <c r="O81" s="241">
        <f t="shared" si="0"/>
        <v>1402493.36</v>
      </c>
      <c r="R81" s="244"/>
      <c r="S81" s="243"/>
    </row>
    <row r="82" spans="1:19" x14ac:dyDescent="0.3">
      <c r="A82" s="2"/>
      <c r="B82" s="2"/>
      <c r="C82" s="2"/>
      <c r="D82" s="19" t="s">
        <v>140</v>
      </c>
      <c r="E82" s="228"/>
      <c r="G82" s="469">
        <v>5010304001</v>
      </c>
      <c r="I82" s="6">
        <f>VLOOKUP($G82,'FC1-Pre TB 2024'!$C$10:$F$276,4,FALSE)</f>
        <v>160390.73000000001</v>
      </c>
      <c r="L82" s="346">
        <f>VLOOKUP($G82,'Restated FC1-Pre TB 2023'!$C$10:$D$271,2,FALSE)</f>
        <v>155290.28</v>
      </c>
      <c r="M82" s="410">
        <f t="shared" si="17"/>
        <v>0</v>
      </c>
      <c r="N82" s="37">
        <f>VLOOKUP($G82,'Restated FC1-Pre TB 2023'!$C$10:$H$271,6,FALSE)</f>
        <v>155290.28</v>
      </c>
      <c r="O82" s="241">
        <f t="shared" si="0"/>
        <v>160390.73000000001</v>
      </c>
      <c r="R82" s="242"/>
      <c r="S82" s="243"/>
    </row>
    <row r="83" spans="1:19" hidden="1" x14ac:dyDescent="0.3">
      <c r="A83" s="2"/>
      <c r="B83" s="2"/>
      <c r="C83" s="2"/>
      <c r="D83" s="18" t="s">
        <v>141</v>
      </c>
      <c r="E83" s="228"/>
      <c r="G83" s="469">
        <v>5010401001</v>
      </c>
      <c r="I83" s="6">
        <f>VLOOKUP($G83,'FC1-Pre TB 2024'!$C$10:$F$276,4,FALSE)</f>
        <v>0</v>
      </c>
      <c r="L83" s="346">
        <f>VLOOKUP($G83,'Restated FC1-Pre TB 2023'!$C$10:$D$271,2,FALSE)</f>
        <v>0</v>
      </c>
      <c r="M83" s="410">
        <f t="shared" si="17"/>
        <v>0</v>
      </c>
      <c r="N83" s="37">
        <f>VLOOKUP($G83,'Restated FC1-Pre TB 2023'!$C$10:$H$271,6,FALSE)</f>
        <v>0</v>
      </c>
      <c r="O83" s="241">
        <f t="shared" si="0"/>
        <v>0</v>
      </c>
      <c r="R83" s="242"/>
      <c r="S83" s="243"/>
    </row>
    <row r="84" spans="1:19" hidden="1" x14ac:dyDescent="0.3">
      <c r="A84" s="2"/>
      <c r="B84" s="2"/>
      <c r="C84" s="2"/>
      <c r="D84" s="18" t="s">
        <v>142</v>
      </c>
      <c r="E84" s="228"/>
      <c r="G84" s="469">
        <v>5010402001</v>
      </c>
      <c r="I84" s="6">
        <f>VLOOKUP($G84,'FC1-Pre TB 2024'!$C$10:$F$276,4,FALSE)</f>
        <v>0</v>
      </c>
      <c r="L84" s="346">
        <f>VLOOKUP($G84,'Restated FC1-Pre TB 2023'!$C$10:$D$271,2,FALSE)</f>
        <v>0</v>
      </c>
      <c r="M84" s="410">
        <f t="shared" si="17"/>
        <v>0</v>
      </c>
      <c r="N84" s="37">
        <f>VLOOKUP($G84,'Restated FC1-Pre TB 2023'!$C$10:$H$271,6,FALSE)</f>
        <v>0</v>
      </c>
      <c r="O84" s="241">
        <f t="shared" si="0"/>
        <v>0</v>
      </c>
      <c r="R84" s="242"/>
      <c r="S84" s="243"/>
    </row>
    <row r="85" spans="1:19" x14ac:dyDescent="0.3">
      <c r="A85" s="2"/>
      <c r="B85" s="2"/>
      <c r="C85" s="2"/>
      <c r="D85" s="19" t="s">
        <v>143</v>
      </c>
      <c r="E85" s="235"/>
      <c r="G85" s="469">
        <v>5010403001</v>
      </c>
      <c r="I85" s="6">
        <f>VLOOKUP($G85,'FC1-Pre TB 2024'!$C$10:$F$276,4,FALSE)</f>
        <v>3995588.92</v>
      </c>
      <c r="K85" s="22"/>
      <c r="L85" s="346">
        <f>VLOOKUP($G85,'Restated FC1-Pre TB 2023'!$C$10:$D$271,2,FALSE)</f>
        <v>2494509.61</v>
      </c>
      <c r="M85" s="410">
        <f t="shared" si="17"/>
        <v>0</v>
      </c>
      <c r="N85" s="37">
        <f>VLOOKUP($G85,'Restated FC1-Pre TB 2023'!$C$10:$H$271,6,FALSE)</f>
        <v>2494509.61</v>
      </c>
      <c r="O85" s="241">
        <f t="shared" si="0"/>
        <v>3995588.92</v>
      </c>
      <c r="R85" s="242"/>
      <c r="S85" s="243"/>
    </row>
    <row r="86" spans="1:19" x14ac:dyDescent="0.3">
      <c r="A86" s="2"/>
      <c r="B86" s="2"/>
      <c r="C86" s="2"/>
      <c r="D86" s="18" t="s">
        <v>379</v>
      </c>
      <c r="E86" s="228"/>
      <c r="G86" s="469">
        <v>5010499010</v>
      </c>
      <c r="I86" s="6">
        <f>VLOOKUP($G86,'FC1-Pre TB 2024'!$C$10:$F$276,4,FALSE)</f>
        <v>768.99</v>
      </c>
      <c r="K86" s="22"/>
      <c r="L86" s="346">
        <f>VLOOKUP($G86,'Restated FC1-Pre TB 2023'!$C$10:$D$271,2,FALSE)</f>
        <v>0</v>
      </c>
      <c r="M86" s="410">
        <f t="shared" si="17"/>
        <v>0</v>
      </c>
      <c r="N86" s="37">
        <f>VLOOKUP($G86,'Restated FC1-Pre TB 2023'!$C$10:$H$271,6,FALSE)</f>
        <v>0</v>
      </c>
      <c r="O86" s="241">
        <f t="shared" si="0"/>
        <v>768.99</v>
      </c>
      <c r="R86" s="242"/>
      <c r="S86" s="243"/>
    </row>
    <row r="87" spans="1:19" hidden="1" x14ac:dyDescent="0.3">
      <c r="A87" s="2"/>
      <c r="B87" s="2"/>
      <c r="C87" s="2"/>
      <c r="D87" s="18" t="s">
        <v>467</v>
      </c>
      <c r="E87" s="228"/>
      <c r="G87" s="476">
        <v>5010499011</v>
      </c>
      <c r="I87" s="6">
        <f>VLOOKUP($G87,'FC1-Pre TB 2024'!$C$10:$F$276,4,FALSE)</f>
        <v>0</v>
      </c>
      <c r="K87" s="22"/>
      <c r="L87" s="346">
        <f>VLOOKUP($G87,'Restated FC1-Pre TB 2023'!$C$10:$D$271,2,FALSE)</f>
        <v>0</v>
      </c>
      <c r="M87" s="410">
        <f t="shared" si="17"/>
        <v>0</v>
      </c>
      <c r="N87" s="37">
        <f>VLOOKUP($G87,'Restated FC1-Pre TB 2023'!$C$10:$H$271,6,FALSE)</f>
        <v>0</v>
      </c>
      <c r="O87" s="241">
        <f t="shared" si="0"/>
        <v>0</v>
      </c>
      <c r="R87" s="242"/>
      <c r="S87" s="243"/>
    </row>
    <row r="88" spans="1:19" hidden="1" x14ac:dyDescent="0.3">
      <c r="A88" s="2"/>
      <c r="B88" s="2"/>
      <c r="C88" s="2"/>
      <c r="D88" s="18" t="s">
        <v>382</v>
      </c>
      <c r="E88" s="228"/>
      <c r="G88" s="469">
        <v>5010499015</v>
      </c>
      <c r="I88" s="6">
        <f>VLOOKUP($G88,'FC1-Pre TB 2024'!$C$10:$F$276,4,FALSE)</f>
        <v>0</v>
      </c>
      <c r="K88" s="22"/>
      <c r="L88" s="346">
        <f>VLOOKUP($G88,'Restated FC1-Pre TB 2023'!$C$10:$D$271,2,FALSE)</f>
        <v>0</v>
      </c>
      <c r="M88" s="410">
        <f t="shared" si="17"/>
        <v>0</v>
      </c>
      <c r="N88" s="37">
        <f>VLOOKUP($G88,'Restated FC1-Pre TB 2023'!$C$10:$H$271,6,FALSE)</f>
        <v>0</v>
      </c>
      <c r="O88" s="241">
        <f t="shared" si="0"/>
        <v>0</v>
      </c>
      <c r="R88" s="242"/>
      <c r="S88" s="243"/>
    </row>
    <row r="89" spans="1:19" x14ac:dyDescent="0.3">
      <c r="A89" s="2"/>
      <c r="B89" s="2"/>
      <c r="C89" s="2"/>
      <c r="D89" s="18" t="s">
        <v>405</v>
      </c>
      <c r="E89" s="228"/>
      <c r="G89" s="469">
        <v>5010499099</v>
      </c>
      <c r="I89" s="6">
        <f>VLOOKUP($G89,'FC1-Pre TB 2024'!$C$10:$F$276,4,FALSE)</f>
        <v>25633298.41</v>
      </c>
      <c r="K89" s="22"/>
      <c r="L89" s="346">
        <f>VLOOKUP($G89,'Restated FC1-Pre TB 2023'!$C$10:$D$271,2,FALSE)</f>
        <v>20071500</v>
      </c>
      <c r="M89" s="410">
        <f t="shared" si="17"/>
        <v>0</v>
      </c>
      <c r="N89" s="37">
        <f>VLOOKUP($G89,'Restated FC1-Pre TB 2023'!$C$10:$H$271,6,FALSE)</f>
        <v>20071500</v>
      </c>
      <c r="O89" s="241">
        <f t="shared" si="0"/>
        <v>25633298.41</v>
      </c>
      <c r="R89" s="242"/>
      <c r="S89" s="243"/>
    </row>
    <row r="90" spans="1:19" x14ac:dyDescent="0.3">
      <c r="A90" s="2"/>
      <c r="B90" s="2"/>
      <c r="C90" s="2"/>
      <c r="D90" s="13" t="s">
        <v>297</v>
      </c>
      <c r="E90" s="228"/>
      <c r="I90" s="153">
        <f>SUM(I79:I89)</f>
        <v>38683909.120000005</v>
      </c>
      <c r="J90" s="152">
        <f t="shared" ref="J90:M90" si="18">SUM(J79:J89)</f>
        <v>0</v>
      </c>
      <c r="K90" s="152">
        <f t="shared" si="18"/>
        <v>0</v>
      </c>
      <c r="L90" s="152">
        <f t="shared" si="18"/>
        <v>30653415.060000002</v>
      </c>
      <c r="M90" s="152">
        <f t="shared" si="18"/>
        <v>0</v>
      </c>
      <c r="N90" s="152">
        <f>SUM(N79:N89)</f>
        <v>30653415.060000002</v>
      </c>
      <c r="O90" s="241">
        <f t="shared" si="0"/>
        <v>38683909.120000005</v>
      </c>
      <c r="R90" s="242"/>
      <c r="S90" s="243"/>
    </row>
    <row r="91" spans="1:19" x14ac:dyDescent="0.3">
      <c r="A91" s="2"/>
      <c r="B91" s="2"/>
      <c r="C91" s="2"/>
      <c r="D91" s="16"/>
      <c r="E91" s="228"/>
      <c r="I91" s="230"/>
      <c r="K91" s="22"/>
      <c r="L91" s="22"/>
      <c r="M91" s="22"/>
      <c r="O91" s="241">
        <f t="shared" si="0"/>
        <v>0</v>
      </c>
      <c r="R91" s="242">
        <f ca="1">R91</f>
        <v>0</v>
      </c>
      <c r="S91" s="243"/>
    </row>
    <row r="92" spans="1:19" x14ac:dyDescent="0.3">
      <c r="A92" s="2"/>
      <c r="B92" s="57" t="s">
        <v>298</v>
      </c>
      <c r="C92" s="238"/>
      <c r="D92" s="18"/>
      <c r="E92" s="228"/>
      <c r="I92" s="154">
        <f>I90+I76+I38</f>
        <v>885235490.80000007</v>
      </c>
      <c r="J92" s="21">
        <f t="shared" ref="J92:M92" si="19">J90+J76+J38</f>
        <v>0</v>
      </c>
      <c r="K92" s="21">
        <f t="shared" si="19"/>
        <v>0</v>
      </c>
      <c r="L92" s="21">
        <f t="shared" si="19"/>
        <v>650375925.42000008</v>
      </c>
      <c r="M92" s="21">
        <f t="shared" si="19"/>
        <v>747982.62999999523</v>
      </c>
      <c r="N92" s="21">
        <f>N90+N76+N38</f>
        <v>651123908.04999995</v>
      </c>
      <c r="O92" s="241">
        <f t="shared" ref="O92:O158" si="20">I92</f>
        <v>885235490.80000007</v>
      </c>
      <c r="R92" s="242"/>
      <c r="S92" s="243"/>
    </row>
    <row r="93" spans="1:19" x14ac:dyDescent="0.3">
      <c r="A93" s="2"/>
      <c r="B93" s="2"/>
      <c r="C93" s="2"/>
      <c r="D93" s="18"/>
      <c r="E93" s="228"/>
      <c r="I93" s="230"/>
      <c r="K93" s="22"/>
      <c r="L93" s="22"/>
      <c r="M93" s="22"/>
      <c r="N93" s="84"/>
      <c r="O93" s="241">
        <f t="shared" si="20"/>
        <v>0</v>
      </c>
    </row>
    <row r="94" spans="1:19" x14ac:dyDescent="0.3">
      <c r="A94" s="2" t="s">
        <v>200</v>
      </c>
      <c r="B94" s="2"/>
      <c r="C94" s="2"/>
      <c r="D94" s="18"/>
      <c r="E94" s="228"/>
      <c r="F94" s="326">
        <v>18</v>
      </c>
      <c r="K94" s="22"/>
      <c r="L94" s="22"/>
      <c r="M94" s="22"/>
      <c r="O94" s="241">
        <f t="shared" si="20"/>
        <v>0</v>
      </c>
    </row>
    <row r="95" spans="1:19" x14ac:dyDescent="0.3">
      <c r="A95" s="2"/>
      <c r="B95" s="2"/>
      <c r="C95" s="2" t="s">
        <v>299</v>
      </c>
      <c r="D95" s="18"/>
      <c r="E95" s="228"/>
      <c r="F95" s="326">
        <v>18.100000000000001</v>
      </c>
      <c r="O95" s="241">
        <f t="shared" si="20"/>
        <v>0</v>
      </c>
    </row>
    <row r="96" spans="1:19" x14ac:dyDescent="0.3">
      <c r="A96" s="2"/>
      <c r="B96" s="2"/>
      <c r="C96" s="2"/>
      <c r="D96" s="18" t="s">
        <v>42</v>
      </c>
      <c r="E96" s="228"/>
      <c r="G96" s="469">
        <v>5020101000</v>
      </c>
      <c r="I96" s="6">
        <f>VLOOKUP($G96,'FC1-Pre TB 2024'!$C$10:$F$276,4,FALSE)</f>
        <v>119420122.43000001</v>
      </c>
      <c r="L96" s="346">
        <f>VLOOKUP($G96,'Restated FC1-Pre TB 2023'!$C$10:$D$271,2,FALSE)</f>
        <v>112170957.09</v>
      </c>
      <c r="M96" s="410">
        <f t="shared" ref="M96" si="21">N96-L96</f>
        <v>4474005.0699999928</v>
      </c>
      <c r="N96" s="37">
        <f>VLOOKUP($G96,'Restated FC1-Pre TB 2023'!$C$10:$H$271,6,FALSE)</f>
        <v>116644962.16</v>
      </c>
      <c r="O96" s="241">
        <f t="shared" si="20"/>
        <v>119420122.43000001</v>
      </c>
    </row>
    <row r="97" spans="1:15" x14ac:dyDescent="0.3">
      <c r="A97" s="2"/>
      <c r="B97" s="2"/>
      <c r="C97" s="2"/>
      <c r="D97" s="18" t="s">
        <v>300</v>
      </c>
      <c r="E97" s="228"/>
      <c r="I97" s="153">
        <f>I96</f>
        <v>119420122.43000001</v>
      </c>
      <c r="J97" s="152">
        <f t="shared" ref="J97:M97" si="22">J96</f>
        <v>0</v>
      </c>
      <c r="K97" s="152">
        <f t="shared" si="22"/>
        <v>0</v>
      </c>
      <c r="L97" s="152">
        <f t="shared" si="22"/>
        <v>112170957.09</v>
      </c>
      <c r="M97" s="152">
        <f t="shared" si="22"/>
        <v>4474005.0699999928</v>
      </c>
      <c r="N97" s="152">
        <f>N96</f>
        <v>116644962.16</v>
      </c>
      <c r="O97" s="241">
        <f t="shared" si="20"/>
        <v>119420122.43000001</v>
      </c>
    </row>
    <row r="98" spans="1:15" x14ac:dyDescent="0.3">
      <c r="A98" s="2"/>
      <c r="B98" s="2"/>
      <c r="C98" s="2"/>
      <c r="D98" s="18"/>
      <c r="E98" s="228"/>
      <c r="I98" s="230"/>
      <c r="O98" s="241">
        <f t="shared" si="20"/>
        <v>0</v>
      </c>
    </row>
    <row r="99" spans="1:15" x14ac:dyDescent="0.3">
      <c r="A99" s="2"/>
      <c r="B99" s="2"/>
      <c r="C99" s="2" t="s">
        <v>301</v>
      </c>
      <c r="D99" s="18"/>
      <c r="E99" s="228"/>
      <c r="F99" s="326">
        <v>18.2</v>
      </c>
      <c r="O99" s="241">
        <f t="shared" si="20"/>
        <v>0</v>
      </c>
    </row>
    <row r="100" spans="1:15" x14ac:dyDescent="0.3">
      <c r="A100" s="2"/>
      <c r="B100" s="2"/>
      <c r="C100" s="2"/>
      <c r="D100" s="18" t="s">
        <v>43</v>
      </c>
      <c r="E100" s="228"/>
      <c r="G100" s="469">
        <v>5020201002</v>
      </c>
      <c r="I100" s="6">
        <f>VLOOKUP($G100,'FC1-Pre TB 2024'!$C$10:$F$276,4,FALSE)</f>
        <v>55953748.490000002</v>
      </c>
      <c r="L100" s="346">
        <f>VLOOKUP($G100,'Restated FC1-Pre TB 2023'!$C$10:$D$271,2,FALSE)</f>
        <v>51348978.049999997</v>
      </c>
      <c r="M100" s="410">
        <f t="shared" ref="M100:M101" si="23">N100-L100</f>
        <v>13719147.390000001</v>
      </c>
      <c r="N100" s="37">
        <f>VLOOKUP($G100,'Restated FC1-Pre TB 2023'!$C$10:$H$271,6,FALSE)</f>
        <v>65068125.439999998</v>
      </c>
      <c r="O100" s="241">
        <f t="shared" si="20"/>
        <v>55953748.490000002</v>
      </c>
    </row>
    <row r="101" spans="1:15" x14ac:dyDescent="0.3">
      <c r="A101" s="2"/>
      <c r="B101" s="2"/>
      <c r="C101" s="2"/>
      <c r="D101" s="18" t="s">
        <v>44</v>
      </c>
      <c r="E101" s="228"/>
      <c r="G101" s="469">
        <v>5020202000</v>
      </c>
      <c r="I101" s="6">
        <f>VLOOKUP($G101,'FC1-Pre TB 2024'!$C$10:$F$276,4,FALSE)</f>
        <v>82270.31</v>
      </c>
      <c r="L101" s="346">
        <f>VLOOKUP($G101,'Restated FC1-Pre TB 2023'!$C$10:$D$271,2,FALSE)</f>
        <v>12337.78</v>
      </c>
      <c r="M101" s="410">
        <f t="shared" si="23"/>
        <v>0</v>
      </c>
      <c r="N101" s="37">
        <f>VLOOKUP($G101,'Restated FC1-Pre TB 2023'!$C$10:$H$271,6,FALSE)</f>
        <v>12337.78</v>
      </c>
      <c r="O101" s="241">
        <f t="shared" si="20"/>
        <v>82270.31</v>
      </c>
    </row>
    <row r="102" spans="1:15" x14ac:dyDescent="0.3">
      <c r="A102" s="2"/>
      <c r="B102" s="2"/>
      <c r="C102" s="2"/>
      <c r="D102" s="18" t="s">
        <v>302</v>
      </c>
      <c r="E102" s="228"/>
      <c r="I102" s="153">
        <f>SUM(I100:I101)</f>
        <v>56036018.800000004</v>
      </c>
      <c r="J102" s="152">
        <f t="shared" ref="J102:M102" si="24">SUM(J100:J101)</f>
        <v>0</v>
      </c>
      <c r="K102" s="152">
        <f t="shared" si="24"/>
        <v>0</v>
      </c>
      <c r="L102" s="152">
        <f t="shared" si="24"/>
        <v>51361315.829999998</v>
      </c>
      <c r="M102" s="152">
        <f t="shared" si="24"/>
        <v>13719147.390000001</v>
      </c>
      <c r="N102" s="152">
        <f>SUM(N100:N101)</f>
        <v>65080463.219999999</v>
      </c>
      <c r="O102" s="241">
        <f t="shared" si="20"/>
        <v>56036018.800000004</v>
      </c>
    </row>
    <row r="103" spans="1:15" x14ac:dyDescent="0.3">
      <c r="A103" s="2"/>
      <c r="B103" s="2"/>
      <c r="C103" s="2"/>
      <c r="D103" s="18"/>
      <c r="E103" s="228"/>
      <c r="O103" s="241">
        <f t="shared" si="20"/>
        <v>0</v>
      </c>
    </row>
    <row r="104" spans="1:15" x14ac:dyDescent="0.3">
      <c r="A104" s="2"/>
      <c r="B104" s="2"/>
      <c r="C104" s="2" t="s">
        <v>303</v>
      </c>
      <c r="D104" s="18"/>
      <c r="E104" s="228"/>
      <c r="F104" s="326">
        <v>18.3</v>
      </c>
      <c r="O104" s="241">
        <f t="shared" si="20"/>
        <v>0</v>
      </c>
    </row>
    <row r="105" spans="1:15" x14ac:dyDescent="0.3">
      <c r="A105" s="2"/>
      <c r="B105" s="2"/>
      <c r="C105" s="2"/>
      <c r="D105" s="18" t="s">
        <v>413</v>
      </c>
      <c r="E105" s="228"/>
      <c r="G105" s="469">
        <v>5020301001</v>
      </c>
      <c r="I105" s="6">
        <f>VLOOKUP($G105,'FC1-Pre TB 2024'!$C$10:$F$276,4,FALSE)</f>
        <v>30393.09</v>
      </c>
      <c r="L105" s="346">
        <f>VLOOKUP($G105,'Restated FC1-Pre TB 2023'!$C$10:$D$271,2,FALSE)</f>
        <v>776685.1</v>
      </c>
      <c r="M105" s="410">
        <f t="shared" ref="M105:M122" si="25">N105-L105</f>
        <v>-53737.790000000037</v>
      </c>
      <c r="N105" s="37">
        <f>VLOOKUP($G105,'Restated FC1-Pre TB 2023'!$C$10:$H$271,6,FALSE)</f>
        <v>722947.30999999994</v>
      </c>
      <c r="O105" s="241">
        <f t="shared" si="20"/>
        <v>30393.09</v>
      </c>
    </row>
    <row r="106" spans="1:15" x14ac:dyDescent="0.3">
      <c r="A106" s="2"/>
      <c r="B106" s="2"/>
      <c r="C106" s="2"/>
      <c r="D106" s="18" t="s">
        <v>45</v>
      </c>
      <c r="E106" s="228"/>
      <c r="G106" s="469">
        <v>5020301002</v>
      </c>
      <c r="I106" s="6">
        <f>VLOOKUP($G106,'FC1-Pre TB 2024'!$C$10:$F$276,4,FALSE)</f>
        <v>14101842.76</v>
      </c>
      <c r="L106" s="346">
        <f>VLOOKUP($G106,'Restated FC1-Pre TB 2023'!$C$10:$D$271,2,FALSE)</f>
        <v>13941367.890000001</v>
      </c>
      <c r="M106" s="410">
        <f t="shared" si="25"/>
        <v>9604428.2700000033</v>
      </c>
      <c r="N106" s="37">
        <f>VLOOKUP($G106,'Restated FC1-Pre TB 2023'!$C$10:$H$271,6,FALSE)</f>
        <v>23545796.160000004</v>
      </c>
      <c r="O106" s="241">
        <f t="shared" si="20"/>
        <v>14101842.76</v>
      </c>
    </row>
    <row r="107" spans="1:15" x14ac:dyDescent="0.3">
      <c r="A107" s="2"/>
      <c r="B107" s="2"/>
      <c r="C107" s="2"/>
      <c r="D107" s="18" t="s">
        <v>46</v>
      </c>
      <c r="E107" s="228"/>
      <c r="G107" s="469">
        <v>5020302000</v>
      </c>
      <c r="I107" s="6">
        <f>VLOOKUP($G107,'FC1-Pre TB 2024'!$C$10:$F$276,4,FALSE)</f>
        <v>0</v>
      </c>
      <c r="L107" s="346">
        <f>VLOOKUP($G107,'Restated FC1-Pre TB 2023'!$C$10:$D$271,2,FALSE)</f>
        <v>4000</v>
      </c>
      <c r="M107" s="410">
        <f t="shared" si="25"/>
        <v>0</v>
      </c>
      <c r="N107" s="37">
        <f>VLOOKUP($G107,'Restated FC1-Pre TB 2023'!$C$10:$H$271,6,FALSE)</f>
        <v>4000</v>
      </c>
      <c r="O107" s="241">
        <f t="shared" si="20"/>
        <v>0</v>
      </c>
    </row>
    <row r="108" spans="1:15" x14ac:dyDescent="0.3">
      <c r="A108" s="2"/>
      <c r="B108" s="2"/>
      <c r="C108" s="2"/>
      <c r="D108" s="18" t="s">
        <v>47</v>
      </c>
      <c r="E108" s="228"/>
      <c r="G108" s="469">
        <v>5020305000</v>
      </c>
      <c r="I108" s="6">
        <f>VLOOKUP($G108,'FC1-Pre TB 2024'!$C$10:$F$276,4,FALSE)</f>
        <v>8129340.6900000004</v>
      </c>
      <c r="L108" s="346">
        <f>VLOOKUP($G108,'Restated FC1-Pre TB 2023'!$C$10:$D$271,2,FALSE)</f>
        <v>8962526.2400000002</v>
      </c>
      <c r="M108" s="410">
        <f t="shared" si="25"/>
        <v>815530.12999999896</v>
      </c>
      <c r="N108" s="37">
        <f>VLOOKUP($G108,'Restated FC1-Pre TB 2023'!$C$10:$H$271,6,FALSE)</f>
        <v>9778056.3699999992</v>
      </c>
      <c r="O108" s="241">
        <f t="shared" si="20"/>
        <v>8129340.6900000004</v>
      </c>
    </row>
    <row r="109" spans="1:15" x14ac:dyDescent="0.3">
      <c r="A109" s="2"/>
      <c r="B109" s="2"/>
      <c r="C109" s="2"/>
      <c r="D109" s="18" t="s">
        <v>144</v>
      </c>
      <c r="E109" s="228"/>
      <c r="G109" s="469">
        <v>5020306000</v>
      </c>
      <c r="I109" s="6">
        <f>VLOOKUP($G109,'FC1-Pre TB 2024'!$C$10:$F$276,4,FALSE)</f>
        <v>144855422.09</v>
      </c>
      <c r="L109" s="346">
        <f>VLOOKUP($G109,'Restated FC1-Pre TB 2023'!$C$10:$D$271,2,FALSE)</f>
        <v>46505211.920000002</v>
      </c>
      <c r="M109" s="410">
        <f t="shared" si="25"/>
        <v>274599996.59000003</v>
      </c>
      <c r="N109" s="37">
        <f>VLOOKUP($G109,'Restated FC1-Pre TB 2023'!$C$10:$H$271,6,FALSE)</f>
        <v>321105208.51000005</v>
      </c>
      <c r="O109" s="241">
        <f t="shared" si="20"/>
        <v>144855422.09</v>
      </c>
    </row>
    <row r="110" spans="1:15" x14ac:dyDescent="0.3">
      <c r="A110" s="2"/>
      <c r="B110" s="2"/>
      <c r="C110" s="2"/>
      <c r="D110" s="18" t="s">
        <v>48</v>
      </c>
      <c r="E110" s="228"/>
      <c r="G110" s="469">
        <v>5020307000</v>
      </c>
      <c r="I110" s="6">
        <f>VLOOKUP($G110,'FC1-Pre TB 2024'!$C$10:$F$276,4,FALSE)</f>
        <v>495141.61</v>
      </c>
      <c r="L110" s="346">
        <f>VLOOKUP($G110,'Restated FC1-Pre TB 2023'!$C$10:$D$271,2,FALSE)</f>
        <v>612726.96</v>
      </c>
      <c r="M110" s="410">
        <f t="shared" si="25"/>
        <v>105310.90000000002</v>
      </c>
      <c r="N110" s="37">
        <f>VLOOKUP($G110,'Restated FC1-Pre TB 2023'!$C$10:$H$271,6,FALSE)</f>
        <v>718037.86</v>
      </c>
      <c r="O110" s="241">
        <f t="shared" si="20"/>
        <v>495141.61</v>
      </c>
    </row>
    <row r="111" spans="1:15" x14ac:dyDescent="0.3">
      <c r="A111" s="2"/>
      <c r="B111" s="2"/>
      <c r="C111" s="2"/>
      <c r="D111" s="18" t="s">
        <v>49</v>
      </c>
      <c r="E111" s="228"/>
      <c r="G111" s="469">
        <v>5020308000</v>
      </c>
      <c r="I111" s="6">
        <f>VLOOKUP($G111,'FC1-Pre TB 2024'!$C$10:$F$276,4,FALSE)</f>
        <v>727583.91</v>
      </c>
      <c r="L111" s="346">
        <f>VLOOKUP($G111,'Restated FC1-Pre TB 2023'!$C$10:$D$271,2,FALSE)</f>
        <v>664832.44999999995</v>
      </c>
      <c r="M111" s="410">
        <f t="shared" si="25"/>
        <v>-280700</v>
      </c>
      <c r="N111" s="37">
        <f>VLOOKUP($G111,'Restated FC1-Pre TB 2023'!$C$10:$H$271,6,FALSE)</f>
        <v>384132.44999999995</v>
      </c>
      <c r="O111" s="241">
        <f t="shared" si="20"/>
        <v>727583.91</v>
      </c>
    </row>
    <row r="112" spans="1:15" x14ac:dyDescent="0.3">
      <c r="A112" s="2"/>
      <c r="B112" s="2"/>
      <c r="C112" s="2"/>
      <c r="D112" s="19" t="s">
        <v>145</v>
      </c>
      <c r="E112" s="228"/>
      <c r="G112" s="469">
        <v>5020309000</v>
      </c>
      <c r="I112" s="6">
        <f>VLOOKUP($G112,'FC1-Pre TB 2024'!$C$10:$F$276,4,FALSE)</f>
        <v>5576457.21</v>
      </c>
      <c r="L112" s="346">
        <f>VLOOKUP($G112,'Restated FC1-Pre TB 2023'!$C$10:$D$271,2,FALSE)</f>
        <v>4554578.22</v>
      </c>
      <c r="M112" s="410">
        <f t="shared" si="25"/>
        <v>2906.8300000000745</v>
      </c>
      <c r="N112" s="37">
        <f>VLOOKUP($G112,'Restated FC1-Pre TB 2023'!$C$10:$H$271,6,FALSE)</f>
        <v>4557485.05</v>
      </c>
      <c r="O112" s="241">
        <f t="shared" si="20"/>
        <v>5576457.21</v>
      </c>
    </row>
    <row r="113" spans="1:21" x14ac:dyDescent="0.3">
      <c r="A113" s="2"/>
      <c r="B113" s="2"/>
      <c r="C113" s="2"/>
      <c r="D113" s="19" t="s">
        <v>380</v>
      </c>
      <c r="E113" s="228"/>
      <c r="G113" s="469">
        <v>5020321001</v>
      </c>
      <c r="I113" s="6">
        <f>VLOOKUP($G113,'FC1-Pre TB 2024'!$C$10:$F$276,4,FALSE)</f>
        <v>164930</v>
      </c>
      <c r="L113" s="346">
        <f>VLOOKUP($G113,'Restated FC1-Pre TB 2023'!$C$10:$D$271,2,FALSE)</f>
        <v>12289</v>
      </c>
      <c r="M113" s="410">
        <f t="shared" si="25"/>
        <v>59670</v>
      </c>
      <c r="N113" s="37">
        <f>VLOOKUP($G113,'Restated FC1-Pre TB 2023'!$C$10:$H$271,6,FALSE)</f>
        <v>71959</v>
      </c>
      <c r="O113" s="241">
        <f t="shared" si="20"/>
        <v>164930</v>
      </c>
    </row>
    <row r="114" spans="1:21" x14ac:dyDescent="0.3">
      <c r="A114" s="2"/>
      <c r="B114" s="2"/>
      <c r="C114" s="2"/>
      <c r="D114" s="19" t="s">
        <v>373</v>
      </c>
      <c r="E114" s="228"/>
      <c r="G114" s="469">
        <v>5020321002</v>
      </c>
      <c r="I114" s="6">
        <f>VLOOKUP($G114,'FC1-Pre TB 2024'!$C$10:$F$276,4,FALSE)</f>
        <v>4111127.08</v>
      </c>
      <c r="L114" s="346">
        <f>VLOOKUP($G114,'Restated FC1-Pre TB 2023'!$C$10:$D$271,2,FALSE)</f>
        <v>1347125.2</v>
      </c>
      <c r="M114" s="410">
        <f t="shared" si="25"/>
        <v>395837</v>
      </c>
      <c r="N114" s="37">
        <f>VLOOKUP($G114,'Restated FC1-Pre TB 2023'!$C$10:$H$271,6,FALSE)</f>
        <v>1742962.2</v>
      </c>
      <c r="O114" s="241">
        <f t="shared" si="20"/>
        <v>4111127.08</v>
      </c>
    </row>
    <row r="115" spans="1:21" x14ac:dyDescent="0.3">
      <c r="A115" s="2"/>
      <c r="B115" s="2"/>
      <c r="C115" s="2"/>
      <c r="D115" s="19" t="s">
        <v>372</v>
      </c>
      <c r="E115" s="228"/>
      <c r="G115" s="469">
        <v>5020321003</v>
      </c>
      <c r="I115" s="6">
        <f>VLOOKUP($G115,'FC1-Pre TB 2024'!$C$10:$F$276,4,FALSE)</f>
        <v>42750707.810000002</v>
      </c>
      <c r="L115" s="346">
        <f>VLOOKUP($G115,'Restated FC1-Pre TB 2023'!$C$10:$D$271,2,FALSE)</f>
        <v>11495992.779999999</v>
      </c>
      <c r="M115" s="410">
        <f t="shared" si="25"/>
        <v>1125704.42</v>
      </c>
      <c r="N115" s="37">
        <f>VLOOKUP($G115,'Restated FC1-Pre TB 2023'!$C$10:$H$271,6,FALSE)</f>
        <v>12621697.199999999</v>
      </c>
      <c r="O115" s="241">
        <f t="shared" si="20"/>
        <v>42750707.810000002</v>
      </c>
    </row>
    <row r="116" spans="1:21" x14ac:dyDescent="0.3">
      <c r="A116" s="2"/>
      <c r="B116" s="2"/>
      <c r="C116" s="2"/>
      <c r="D116" s="19" t="s">
        <v>374</v>
      </c>
      <c r="E116" s="228"/>
      <c r="G116" s="469">
        <v>5020321007</v>
      </c>
      <c r="I116" s="6">
        <f>VLOOKUP($G116,'FC1-Pre TB 2024'!$C$10:$F$276,4,FALSE)</f>
        <v>1804446.1</v>
      </c>
      <c r="L116" s="346">
        <f>VLOOKUP($G116,'Restated FC1-Pre TB 2023'!$C$10:$D$271,2,FALSE)</f>
        <v>119133.7</v>
      </c>
      <c r="M116" s="410">
        <f t="shared" si="25"/>
        <v>0</v>
      </c>
      <c r="N116" s="37">
        <f>VLOOKUP($G116,'Restated FC1-Pre TB 2023'!$C$10:$H$271,6,FALSE)</f>
        <v>119133.7</v>
      </c>
      <c r="O116" s="241">
        <f t="shared" si="20"/>
        <v>1804446.1</v>
      </c>
    </row>
    <row r="117" spans="1:21" x14ac:dyDescent="0.3">
      <c r="A117" s="2"/>
      <c r="B117" s="2"/>
      <c r="C117" s="2"/>
      <c r="D117" s="19" t="s">
        <v>376</v>
      </c>
      <c r="E117" s="228"/>
      <c r="G117" s="469">
        <v>5020321010</v>
      </c>
      <c r="I117" s="6">
        <f>VLOOKUP($G117,'FC1-Pre TB 2024'!$C$10:$F$276,4,FALSE)</f>
        <v>110468</v>
      </c>
      <c r="L117" s="346">
        <f>VLOOKUP($G117,'Restated FC1-Pre TB 2023'!$C$10:$D$271,2,FALSE)</f>
        <v>403997</v>
      </c>
      <c r="M117" s="410">
        <f t="shared" si="25"/>
        <v>84963</v>
      </c>
      <c r="N117" s="37">
        <f>VLOOKUP($G117,'Restated FC1-Pre TB 2023'!$C$10:$H$271,6,FALSE)</f>
        <v>488960</v>
      </c>
      <c r="O117" s="241">
        <f t="shared" si="20"/>
        <v>110468</v>
      </c>
    </row>
    <row r="118" spans="1:21" x14ac:dyDescent="0.3">
      <c r="A118" s="2"/>
      <c r="B118" s="2"/>
      <c r="C118" s="2"/>
      <c r="D118" s="19" t="s">
        <v>503</v>
      </c>
      <c r="E118" s="228"/>
      <c r="G118" s="469">
        <v>5020321012</v>
      </c>
      <c r="I118" s="6">
        <f>VLOOKUP($G118,'FC1-Pre TB 2024'!$C$10:$F$276,4,FALSE)</f>
        <v>293096.96999999997</v>
      </c>
      <c r="L118" s="346">
        <f>VLOOKUP($G118,'Restated FC1-Pre TB 2023'!$C$10:$D$271,2,FALSE)</f>
        <v>2875</v>
      </c>
      <c r="M118" s="410">
        <f t="shared" si="25"/>
        <v>53313</v>
      </c>
      <c r="N118" s="37">
        <f>VLOOKUP($G118,'Restated FC1-Pre TB 2023'!$C$10:$H$271,6,FALSE)</f>
        <v>56188</v>
      </c>
      <c r="O118" s="241"/>
    </row>
    <row r="119" spans="1:21" x14ac:dyDescent="0.3">
      <c r="A119" s="2"/>
      <c r="B119" s="2"/>
      <c r="C119" s="2"/>
      <c r="D119" s="19" t="s">
        <v>501</v>
      </c>
      <c r="E119" s="228"/>
      <c r="G119" s="469">
        <v>5020321013</v>
      </c>
      <c r="I119" s="6">
        <f>VLOOKUP($G119,'FC1-Pre TB 2024'!$C$10:$F$276,4,FALSE)</f>
        <v>0</v>
      </c>
      <c r="L119" s="346">
        <f>VLOOKUP($G119,'Restated FC1-Pre TB 2023'!$C$10:$D$271,2,FALSE)</f>
        <v>0</v>
      </c>
      <c r="M119" s="410">
        <f t="shared" si="25"/>
        <v>0</v>
      </c>
      <c r="N119" s="37">
        <f>VLOOKUP($G119,'Restated FC1-Pre TB 2023'!$C$10:$H$271,6,FALSE)</f>
        <v>0</v>
      </c>
      <c r="O119" s="241"/>
    </row>
    <row r="120" spans="1:21" x14ac:dyDescent="0.3">
      <c r="A120" s="2"/>
      <c r="B120" s="2"/>
      <c r="C120" s="2"/>
      <c r="D120" s="19" t="s">
        <v>539</v>
      </c>
      <c r="E120" s="228"/>
      <c r="G120" s="469">
        <v>5020321099</v>
      </c>
      <c r="I120" s="6">
        <f>VLOOKUP($G120,'FC1-Pre TB 2024'!$C$10:$F$276,4,FALSE)</f>
        <v>1541043.5</v>
      </c>
      <c r="L120" s="346">
        <f>VLOOKUP($G120,'Restated FC1-Pre TB 2023'!$C$10:$D$271,2,FALSE)</f>
        <v>952105.75</v>
      </c>
      <c r="M120" s="410">
        <f t="shared" si="25"/>
        <v>-184485</v>
      </c>
      <c r="N120" s="37">
        <f>VLOOKUP($G120,'Restated FC1-Pre TB 2023'!$C$10:$H$271,6,FALSE)</f>
        <v>767620.75</v>
      </c>
      <c r="O120" s="241">
        <f t="shared" si="20"/>
        <v>1541043.5</v>
      </c>
    </row>
    <row r="121" spans="1:21" x14ac:dyDescent="0.3">
      <c r="A121" s="2"/>
      <c r="B121" s="2"/>
      <c r="C121" s="2"/>
      <c r="D121" s="19" t="s">
        <v>375</v>
      </c>
      <c r="E121" s="228"/>
      <c r="G121" s="469">
        <v>5020322001</v>
      </c>
      <c r="I121" s="6">
        <f>VLOOKUP($G121,'FC1-Pre TB 2024'!$C$10:$F$276,4,FALSE)</f>
        <v>5887842.0099999998</v>
      </c>
      <c r="L121" s="346">
        <f>VLOOKUP($G121,'Restated FC1-Pre TB 2023'!$C$10:$D$271,2,FALSE)</f>
        <v>1516087.45</v>
      </c>
      <c r="M121" s="410">
        <f t="shared" si="25"/>
        <v>1356694.0000000002</v>
      </c>
      <c r="N121" s="37">
        <f>VLOOKUP($G121,'Restated FC1-Pre TB 2023'!$C$10:$H$271,6,FALSE)</f>
        <v>2872781.45</v>
      </c>
      <c r="O121" s="241">
        <f t="shared" si="20"/>
        <v>5887842.0099999998</v>
      </c>
      <c r="U121" s="239">
        <f>I123-U122</f>
        <v>286326247.19000006</v>
      </c>
    </row>
    <row r="122" spans="1:21" x14ac:dyDescent="0.3">
      <c r="A122" s="2"/>
      <c r="B122" s="2"/>
      <c r="C122" s="2"/>
      <c r="D122" s="19" t="s">
        <v>50</v>
      </c>
      <c r="E122" s="228"/>
      <c r="G122" s="469">
        <v>5020399000</v>
      </c>
      <c r="I122" s="6">
        <f>VLOOKUP($G122,'FC1-Pre TB 2024'!$C$10:$F$276,4,FALSE)</f>
        <v>90351210.140000001</v>
      </c>
      <c r="L122" s="346">
        <f>VLOOKUP($G122,'Restated FC1-Pre TB 2023'!$C$10:$D$271,2,FALSE)</f>
        <v>4627777.12</v>
      </c>
      <c r="M122" s="410">
        <f t="shared" si="25"/>
        <v>540971206.25999987</v>
      </c>
      <c r="N122" s="37">
        <f>VLOOKUP($G122,'Restated FC1-Pre TB 2023'!$C$10:$H$271,6,FALSE)</f>
        <v>545598983.37999988</v>
      </c>
      <c r="O122" s="241">
        <f t="shared" si="20"/>
        <v>90351210.140000001</v>
      </c>
      <c r="U122" s="239">
        <v>34604805.780000001</v>
      </c>
    </row>
    <row r="123" spans="1:21" x14ac:dyDescent="0.3">
      <c r="A123" s="2"/>
      <c r="B123" s="2"/>
      <c r="C123" s="2"/>
      <c r="D123" s="329" t="s">
        <v>304</v>
      </c>
      <c r="E123" s="228"/>
      <c r="I123" s="153">
        <f>SUM(I105:I122)</f>
        <v>320931052.97000003</v>
      </c>
      <c r="J123" s="152">
        <f t="shared" ref="J123:M123" si="26">SUM(J105:J122)</f>
        <v>0</v>
      </c>
      <c r="K123" s="152">
        <f t="shared" si="26"/>
        <v>0</v>
      </c>
      <c r="L123" s="152">
        <f t="shared" si="26"/>
        <v>96499311.780000016</v>
      </c>
      <c r="M123" s="152">
        <f t="shared" si="26"/>
        <v>828656637.6099999</v>
      </c>
      <c r="N123" s="152">
        <f>SUM(N105:N122)</f>
        <v>925155949.38999987</v>
      </c>
      <c r="O123" s="241">
        <f t="shared" si="20"/>
        <v>320931052.97000003</v>
      </c>
    </row>
    <row r="124" spans="1:21" x14ac:dyDescent="0.3">
      <c r="A124" s="2"/>
      <c r="B124" s="2"/>
      <c r="C124" s="2"/>
      <c r="D124" s="19"/>
      <c r="E124" s="228"/>
      <c r="I124" s="230"/>
      <c r="O124" s="241"/>
    </row>
    <row r="125" spans="1:21" x14ac:dyDescent="0.3">
      <c r="A125" s="2"/>
      <c r="B125" s="2"/>
      <c r="C125" s="2" t="s">
        <v>305</v>
      </c>
      <c r="D125" s="19"/>
      <c r="E125" s="228"/>
      <c r="F125" s="326">
        <v>18.399999999999999</v>
      </c>
      <c r="O125" s="241">
        <f t="shared" si="20"/>
        <v>0</v>
      </c>
    </row>
    <row r="126" spans="1:21" x14ac:dyDescent="0.3">
      <c r="A126" s="2"/>
      <c r="B126" s="2"/>
      <c r="C126" s="2"/>
      <c r="D126" s="19" t="s">
        <v>51</v>
      </c>
      <c r="E126" s="228"/>
      <c r="G126" s="469">
        <v>5020401000</v>
      </c>
      <c r="I126" s="6">
        <f>VLOOKUP($G126,'FC1-Pre TB 2024'!$C$10:$F$276,4,FALSE)</f>
        <v>1861114.27</v>
      </c>
      <c r="L126" s="346">
        <f>VLOOKUP($G126,'Restated FC1-Pre TB 2023'!$C$10:$D$271,2,FALSE)</f>
        <v>1243309.07</v>
      </c>
      <c r="M126" s="410">
        <f t="shared" ref="M126:M127" si="27">N126-L126</f>
        <v>17400</v>
      </c>
      <c r="N126" s="37">
        <f>VLOOKUP($G126,'Restated FC1-Pre TB 2023'!$C$10:$H$271,6,FALSE)</f>
        <v>1260709.07</v>
      </c>
      <c r="O126" s="241">
        <f t="shared" si="20"/>
        <v>1861114.27</v>
      </c>
    </row>
    <row r="127" spans="1:21" x14ac:dyDescent="0.3">
      <c r="A127" s="2"/>
      <c r="B127" s="2"/>
      <c r="C127" s="2"/>
      <c r="D127" s="18" t="s">
        <v>52</v>
      </c>
      <c r="E127" s="228"/>
      <c r="G127" s="469">
        <v>5020402000</v>
      </c>
      <c r="I127" s="6">
        <f>VLOOKUP($G127,'FC1-Pre TB 2024'!$C$10:$F$276,4,FALSE)</f>
        <v>10320854.73</v>
      </c>
      <c r="L127" s="346">
        <f>VLOOKUP($G127,'Restated FC1-Pre TB 2023'!$C$10:$D$271,2,FALSE)</f>
        <v>10657240.83</v>
      </c>
      <c r="M127" s="410">
        <f t="shared" si="27"/>
        <v>55368.599999999627</v>
      </c>
      <c r="N127" s="37">
        <f>VLOOKUP($G127,'Restated FC1-Pre TB 2023'!$C$10:$H$271,6,FALSE)</f>
        <v>10712609.43</v>
      </c>
      <c r="O127" s="241">
        <f t="shared" si="20"/>
        <v>10320854.73</v>
      </c>
    </row>
    <row r="128" spans="1:21" x14ac:dyDescent="0.3">
      <c r="A128" s="2"/>
      <c r="B128" s="2"/>
      <c r="C128" s="2"/>
      <c r="D128" s="18" t="s">
        <v>306</v>
      </c>
      <c r="E128" s="228"/>
      <c r="I128" s="153">
        <f>SUM(I126:I127)</f>
        <v>12181969</v>
      </c>
      <c r="J128" s="152">
        <f t="shared" ref="J128:M128" si="28">SUM(J126:J127)</f>
        <v>0</v>
      </c>
      <c r="K128" s="152">
        <f t="shared" si="28"/>
        <v>0</v>
      </c>
      <c r="L128" s="152">
        <f t="shared" si="28"/>
        <v>11900549.9</v>
      </c>
      <c r="M128" s="152">
        <f t="shared" si="28"/>
        <v>72768.599999999627</v>
      </c>
      <c r="N128" s="152">
        <f>SUM(N126:N127)</f>
        <v>11973318.5</v>
      </c>
      <c r="O128" s="241">
        <f t="shared" si="20"/>
        <v>12181969</v>
      </c>
    </row>
    <row r="129" spans="1:15" x14ac:dyDescent="0.3">
      <c r="A129" s="2"/>
      <c r="B129" s="2"/>
      <c r="C129" s="2"/>
      <c r="D129" s="18"/>
      <c r="E129" s="228"/>
      <c r="O129" s="241">
        <f t="shared" si="20"/>
        <v>0</v>
      </c>
    </row>
    <row r="130" spans="1:15" x14ac:dyDescent="0.3">
      <c r="A130" s="2"/>
      <c r="B130" s="2"/>
      <c r="C130" s="2" t="s">
        <v>307</v>
      </c>
      <c r="D130" s="18"/>
      <c r="E130" s="228"/>
      <c r="F130" s="326">
        <v>18.5</v>
      </c>
      <c r="O130" s="241">
        <f t="shared" si="20"/>
        <v>0</v>
      </c>
    </row>
    <row r="131" spans="1:15" x14ac:dyDescent="0.3">
      <c r="A131" s="2"/>
      <c r="B131" s="2"/>
      <c r="C131" s="2"/>
      <c r="D131" s="18" t="s">
        <v>53</v>
      </c>
      <c r="E131" s="228"/>
      <c r="G131" s="469">
        <v>5020501000</v>
      </c>
      <c r="I131" s="6">
        <f>VLOOKUP($G131,'FC1-Pre TB 2024'!$C$10:$F$276,4,FALSE)</f>
        <v>388812</v>
      </c>
      <c r="L131" s="346">
        <f>VLOOKUP($G131,'Restated FC1-Pre TB 2023'!$C$10:$D$271,2,FALSE)</f>
        <v>614794.18000000005</v>
      </c>
      <c r="M131" s="410">
        <f t="shared" ref="M131:M135" si="29">N131-L131</f>
        <v>61395</v>
      </c>
      <c r="N131" s="37">
        <f>VLOOKUP($G131,'Restated FC1-Pre TB 2023'!$C$10:$H$271,6,FALSE)</f>
        <v>676189.18</v>
      </c>
      <c r="O131" s="241">
        <f t="shared" si="20"/>
        <v>388812</v>
      </c>
    </row>
    <row r="132" spans="1:15" x14ac:dyDescent="0.3">
      <c r="A132" s="2"/>
      <c r="B132" s="2"/>
      <c r="C132" s="2"/>
      <c r="D132" s="18" t="s">
        <v>54</v>
      </c>
      <c r="E132" s="228"/>
      <c r="G132" s="469">
        <v>5020502002</v>
      </c>
      <c r="I132" s="6">
        <f>VLOOKUP($G132,'FC1-Pre TB 2024'!$C$10:$F$276,4,FALSE)</f>
        <v>23541.59</v>
      </c>
      <c r="L132" s="346">
        <f>VLOOKUP($G132,'Restated FC1-Pre TB 2023'!$C$10:$D$271,2,FALSE)</f>
        <v>9665.27</v>
      </c>
      <c r="M132" s="410">
        <f t="shared" si="29"/>
        <v>0</v>
      </c>
      <c r="N132" s="37">
        <f>VLOOKUP($G132,'Restated FC1-Pre TB 2023'!$C$10:$H$271,6,FALSE)</f>
        <v>9665.27</v>
      </c>
      <c r="O132" s="241">
        <f t="shared" si="20"/>
        <v>23541.59</v>
      </c>
    </row>
    <row r="133" spans="1:15" x14ac:dyDescent="0.3">
      <c r="A133" s="2"/>
      <c r="B133" s="2"/>
      <c r="C133" s="2"/>
      <c r="D133" s="18" t="s">
        <v>55</v>
      </c>
      <c r="E133" s="228"/>
      <c r="G133" s="469">
        <v>5020502001</v>
      </c>
      <c r="I133" s="6">
        <f>VLOOKUP($G133,'FC1-Pre TB 2024'!$C$10:$F$276,4,FALSE)</f>
        <v>7953919.5099999998</v>
      </c>
      <c r="L133" s="346">
        <f>VLOOKUP($G133,'Restated FC1-Pre TB 2023'!$C$10:$D$271,2,FALSE)</f>
        <v>8005980.3200000003</v>
      </c>
      <c r="M133" s="410">
        <f t="shared" si="29"/>
        <v>4398.929999999702</v>
      </c>
      <c r="N133" s="37">
        <f>VLOOKUP($G133,'Restated FC1-Pre TB 2023'!$C$10:$H$271,6,FALSE)</f>
        <v>8010379.25</v>
      </c>
      <c r="O133" s="241">
        <f t="shared" si="20"/>
        <v>7953919.5099999998</v>
      </c>
    </row>
    <row r="134" spans="1:15" x14ac:dyDescent="0.3">
      <c r="A134" s="2"/>
      <c r="B134" s="2"/>
      <c r="C134" s="2"/>
      <c r="D134" s="18" t="s">
        <v>146</v>
      </c>
      <c r="E134" s="228"/>
      <c r="G134" s="469">
        <v>5020503000</v>
      </c>
      <c r="I134" s="6">
        <f>VLOOKUP($G134,'FC1-Pre TB 2024'!$C$10:$F$276,4,FALSE)</f>
        <v>6280488.0999999996</v>
      </c>
      <c r="L134" s="346">
        <f>VLOOKUP($G134,'Restated FC1-Pre TB 2023'!$C$10:$D$271,2,FALSE)</f>
        <v>97957.79</v>
      </c>
      <c r="M134" s="410">
        <f t="shared" si="29"/>
        <v>0</v>
      </c>
      <c r="N134" s="37">
        <f>VLOOKUP($G134,'Restated FC1-Pre TB 2023'!$C$10:$H$271,6,FALSE)</f>
        <v>97957.79</v>
      </c>
      <c r="O134" s="241">
        <f t="shared" si="20"/>
        <v>6280488.0999999996</v>
      </c>
    </row>
    <row r="135" spans="1:15" x14ac:dyDescent="0.3">
      <c r="A135" s="2"/>
      <c r="B135" s="2"/>
      <c r="C135" s="2"/>
      <c r="D135" s="18" t="s">
        <v>56</v>
      </c>
      <c r="E135" s="228"/>
      <c r="G135" s="469">
        <v>5020504000</v>
      </c>
      <c r="I135" s="6">
        <f>VLOOKUP($G135,'FC1-Pre TB 2024'!$C$10:$F$276,4,FALSE)</f>
        <v>4281</v>
      </c>
      <c r="L135" s="346">
        <f>VLOOKUP($G135,'Restated FC1-Pre TB 2023'!$C$10:$D$271,2,FALSE)</f>
        <v>930</v>
      </c>
      <c r="M135" s="410">
        <f t="shared" si="29"/>
        <v>0</v>
      </c>
      <c r="N135" s="37">
        <f>VLOOKUP($G135,'Restated FC1-Pre TB 2023'!$C$10:$H$271,6,FALSE)</f>
        <v>930</v>
      </c>
      <c r="O135" s="241">
        <f t="shared" si="20"/>
        <v>4281</v>
      </c>
    </row>
    <row r="136" spans="1:15" x14ac:dyDescent="0.3">
      <c r="A136" s="2"/>
      <c r="B136" s="2"/>
      <c r="C136" s="2"/>
      <c r="D136" s="18" t="s">
        <v>308</v>
      </c>
      <c r="E136" s="228"/>
      <c r="I136" s="153">
        <f>SUM(I131:I135)</f>
        <v>14651042.199999999</v>
      </c>
      <c r="J136" s="152">
        <f t="shared" ref="J136:M136" si="30">SUM(J131:J135)</f>
        <v>0</v>
      </c>
      <c r="K136" s="152">
        <f t="shared" si="30"/>
        <v>0</v>
      </c>
      <c r="L136" s="152">
        <f t="shared" si="30"/>
        <v>8729327.5599999987</v>
      </c>
      <c r="M136" s="152">
        <f t="shared" si="30"/>
        <v>65793.929999999702</v>
      </c>
      <c r="N136" s="152">
        <f>SUM(N131:N135)</f>
        <v>8795121.4899999984</v>
      </c>
      <c r="O136" s="241">
        <f t="shared" si="20"/>
        <v>14651042.199999999</v>
      </c>
    </row>
    <row r="137" spans="1:15" x14ac:dyDescent="0.3">
      <c r="A137" s="2"/>
      <c r="B137" s="2"/>
      <c r="C137" s="2"/>
      <c r="D137" s="18"/>
      <c r="E137" s="228"/>
      <c r="O137" s="241">
        <f t="shared" si="20"/>
        <v>0</v>
      </c>
    </row>
    <row r="138" spans="1:15" x14ac:dyDescent="0.3">
      <c r="A138" s="2"/>
      <c r="B138" s="2"/>
      <c r="C138" s="2" t="s">
        <v>309</v>
      </c>
      <c r="D138" s="18"/>
      <c r="E138" s="228"/>
      <c r="F138" s="326">
        <v>18.600000000000001</v>
      </c>
      <c r="O138" s="241">
        <f t="shared" si="20"/>
        <v>0</v>
      </c>
    </row>
    <row r="139" spans="1:15" x14ac:dyDescent="0.3">
      <c r="A139" s="2"/>
      <c r="B139" s="2"/>
      <c r="C139" s="2"/>
      <c r="D139" s="18" t="s">
        <v>147</v>
      </c>
      <c r="E139" s="228"/>
      <c r="G139" s="469">
        <v>5020601001</v>
      </c>
      <c r="I139" s="6">
        <f>VLOOKUP($G139,'FC1-Pre TB 2024'!$C$10:$F$276,4,FALSE)</f>
        <v>100000</v>
      </c>
      <c r="L139" s="346">
        <f>VLOOKUP($G139,'Restated FC1-Pre TB 2023'!$C$10:$D$271,2,FALSE)</f>
        <v>0</v>
      </c>
      <c r="M139" s="410">
        <f t="shared" ref="M139:M140" si="31">N139-L139</f>
        <v>0</v>
      </c>
      <c r="N139" s="37">
        <f>VLOOKUP($G139,'Restated FC1-Pre TB 2023'!$C$10:$H$271,6,FALSE)</f>
        <v>0</v>
      </c>
      <c r="O139" s="241">
        <f t="shared" si="20"/>
        <v>100000</v>
      </c>
    </row>
    <row r="140" spans="1:15" x14ac:dyDescent="0.3">
      <c r="A140" s="2"/>
      <c r="B140" s="2"/>
      <c r="C140" s="2"/>
      <c r="D140" s="18" t="s">
        <v>210</v>
      </c>
      <c r="E140" s="228"/>
      <c r="G140" s="469">
        <v>5020602000</v>
      </c>
      <c r="I140" s="6">
        <f>VLOOKUP($G140,'FC1-Pre TB 2024'!$C$10:$F$276,4,FALSE)</f>
        <v>11000</v>
      </c>
      <c r="L140" s="346">
        <f>VLOOKUP($G140,'Restated FC1-Pre TB 2023'!$C$10:$D$271,2,FALSE)</f>
        <v>134000</v>
      </c>
      <c r="M140" s="410">
        <f t="shared" si="31"/>
        <v>0</v>
      </c>
      <c r="N140" s="37">
        <f>VLOOKUP($G140,'Restated FC1-Pre TB 2023'!$C$10:$H$271,6,FALSE)</f>
        <v>134000</v>
      </c>
      <c r="O140" s="241">
        <f t="shared" si="20"/>
        <v>11000</v>
      </c>
    </row>
    <row r="141" spans="1:15" x14ac:dyDescent="0.3">
      <c r="A141" s="2"/>
      <c r="B141" s="2"/>
      <c r="C141" s="2"/>
      <c r="D141" s="18" t="s">
        <v>310</v>
      </c>
      <c r="E141" s="228"/>
      <c r="I141" s="153">
        <f>SUM(I139:I140)</f>
        <v>111000</v>
      </c>
      <c r="J141" s="152">
        <f t="shared" ref="J141:M141" si="32">SUM(J139:J140)</f>
        <v>0</v>
      </c>
      <c r="K141" s="152">
        <f t="shared" si="32"/>
        <v>0</v>
      </c>
      <c r="L141" s="152">
        <f t="shared" si="32"/>
        <v>134000</v>
      </c>
      <c r="M141" s="152">
        <f t="shared" si="32"/>
        <v>0</v>
      </c>
      <c r="N141" s="152">
        <f>SUM(N139:N140)</f>
        <v>134000</v>
      </c>
      <c r="O141" s="241">
        <f t="shared" si="20"/>
        <v>111000</v>
      </c>
    </row>
    <row r="142" spans="1:15" x14ac:dyDescent="0.3">
      <c r="A142" s="2"/>
      <c r="B142" s="2"/>
      <c r="C142" s="2"/>
      <c r="D142" s="18"/>
      <c r="E142" s="228"/>
      <c r="O142" s="241">
        <f t="shared" si="20"/>
        <v>0</v>
      </c>
    </row>
    <row r="143" spans="1:15" x14ac:dyDescent="0.3">
      <c r="A143" s="2"/>
      <c r="B143" s="2"/>
      <c r="C143" s="2" t="s">
        <v>317</v>
      </c>
      <c r="D143" s="18"/>
      <c r="E143" s="228"/>
      <c r="F143" s="326">
        <v>18.7</v>
      </c>
      <c r="O143" s="241">
        <f t="shared" si="20"/>
        <v>0</v>
      </c>
    </row>
    <row r="144" spans="1:15" x14ac:dyDescent="0.3">
      <c r="A144" s="2"/>
      <c r="B144" s="2"/>
      <c r="C144" s="2"/>
      <c r="D144" s="18" t="s">
        <v>169</v>
      </c>
      <c r="E144" s="228"/>
      <c r="G144" s="469">
        <v>5021003000</v>
      </c>
      <c r="I144" s="6">
        <f>VLOOKUP($G144,'FC1-Pre TB 2024'!$C$10:$F$276,4,FALSE)</f>
        <v>135600</v>
      </c>
      <c r="L144" s="346">
        <f>VLOOKUP($G144,'Restated FC1-Pre TB 2023'!$C$10:$D$271,2,FALSE)</f>
        <v>135600</v>
      </c>
      <c r="M144" s="410">
        <f t="shared" ref="M144" si="33">N144-L144</f>
        <v>0</v>
      </c>
      <c r="N144" s="37">
        <f>VLOOKUP($G144,'Restated FC1-Pre TB 2023'!$C$10:$H$271,6,FALSE)</f>
        <v>135600</v>
      </c>
      <c r="O144" s="241">
        <f t="shared" si="20"/>
        <v>135600</v>
      </c>
    </row>
    <row r="145" spans="1:21" x14ac:dyDescent="0.3">
      <c r="A145" s="2"/>
      <c r="B145" s="2"/>
      <c r="C145" s="2"/>
      <c r="D145" s="18" t="s">
        <v>318</v>
      </c>
      <c r="E145" s="228"/>
      <c r="I145" s="153">
        <f>I144</f>
        <v>135600</v>
      </c>
      <c r="J145" s="152">
        <f t="shared" ref="J145:N145" si="34">J144</f>
        <v>0</v>
      </c>
      <c r="K145" s="152">
        <f t="shared" si="34"/>
        <v>0</v>
      </c>
      <c r="L145" s="152">
        <f t="shared" si="34"/>
        <v>135600</v>
      </c>
      <c r="M145" s="152">
        <f t="shared" si="34"/>
        <v>0</v>
      </c>
      <c r="N145" s="152">
        <f t="shared" si="34"/>
        <v>135600</v>
      </c>
      <c r="O145" s="241">
        <f t="shared" si="20"/>
        <v>135600</v>
      </c>
    </row>
    <row r="146" spans="1:21" x14ac:dyDescent="0.3">
      <c r="A146" s="2"/>
      <c r="B146" s="2"/>
      <c r="C146" s="2"/>
      <c r="D146" s="18"/>
      <c r="E146" s="228"/>
      <c r="O146" s="241">
        <f t="shared" si="20"/>
        <v>0</v>
      </c>
    </row>
    <row r="147" spans="1:21" x14ac:dyDescent="0.3">
      <c r="A147" s="2"/>
      <c r="B147" s="2"/>
      <c r="C147" s="2" t="s">
        <v>311</v>
      </c>
      <c r="D147" s="18"/>
      <c r="E147" s="228"/>
      <c r="F147" s="326">
        <v>18.8</v>
      </c>
      <c r="O147" s="241">
        <f t="shared" si="20"/>
        <v>0</v>
      </c>
    </row>
    <row r="148" spans="1:21" hidden="1" x14ac:dyDescent="0.3">
      <c r="A148" s="2"/>
      <c r="B148" s="2"/>
      <c r="C148" s="2"/>
      <c r="D148" s="18" t="s">
        <v>154</v>
      </c>
      <c r="E148" s="228"/>
      <c r="G148" s="469">
        <v>5021101000</v>
      </c>
      <c r="I148" s="6">
        <f>VLOOKUP($G148,'FC1-Pre TB 2024'!$C$10:$F$276,4,FALSE)</f>
        <v>0</v>
      </c>
      <c r="L148" s="346">
        <f>VLOOKUP($G148,'Restated FC1-Pre TB 2023'!$C$10:$D$271,2,FALSE)</f>
        <v>0</v>
      </c>
      <c r="N148" s="37">
        <f>VLOOKUP($G148,'Restated FC1-Pre TB 2023'!$C$10:$H$271,6,FALSE)</f>
        <v>0</v>
      </c>
      <c r="O148" s="241">
        <f t="shared" si="20"/>
        <v>0</v>
      </c>
    </row>
    <row r="149" spans="1:21" x14ac:dyDescent="0.3">
      <c r="A149" s="2"/>
      <c r="B149" s="2"/>
      <c r="C149" s="2"/>
      <c r="D149" s="18" t="s">
        <v>62</v>
      </c>
      <c r="E149" s="228"/>
      <c r="G149" s="469">
        <v>5021102000</v>
      </c>
      <c r="I149" s="6">
        <f>VLOOKUP($G149,'FC1-Pre TB 2024'!$C$10:$F$276,4,FALSE)</f>
        <v>122640</v>
      </c>
      <c r="L149" s="346">
        <f>VLOOKUP($G149,'Restated FC1-Pre TB 2023'!$C$10:$D$271,2,FALSE)</f>
        <v>16020</v>
      </c>
      <c r="M149" s="410">
        <f t="shared" ref="M149:M151" si="35">N149-L149</f>
        <v>0</v>
      </c>
      <c r="N149" s="37">
        <f>VLOOKUP($G149,'Restated FC1-Pre TB 2023'!$C$10:$H$271,6,FALSE)</f>
        <v>16020</v>
      </c>
      <c r="O149" s="241">
        <f t="shared" si="20"/>
        <v>122640</v>
      </c>
    </row>
    <row r="150" spans="1:21" x14ac:dyDescent="0.3">
      <c r="A150" s="2"/>
      <c r="B150" s="2"/>
      <c r="C150" s="2"/>
      <c r="D150" s="18" t="s">
        <v>63</v>
      </c>
      <c r="E150" s="228"/>
      <c r="G150" s="469">
        <v>5021103002</v>
      </c>
      <c r="I150" s="6">
        <f>VLOOKUP($G150,'FC1-Pre TB 2024'!$C$10:$F$276,4,FALSE)</f>
        <v>0</v>
      </c>
      <c r="L150" s="346">
        <f>VLOOKUP($G150,'Restated FC1-Pre TB 2023'!$C$10:$D$271,2,FALSE)</f>
        <v>200000</v>
      </c>
      <c r="M150" s="410">
        <f t="shared" si="35"/>
        <v>0</v>
      </c>
      <c r="N150" s="37">
        <f>VLOOKUP($G150,'Restated FC1-Pre TB 2023'!$C$10:$H$271,6,FALSE)</f>
        <v>200000</v>
      </c>
      <c r="O150" s="241"/>
    </row>
    <row r="151" spans="1:21" x14ac:dyDescent="0.3">
      <c r="A151" s="2"/>
      <c r="B151" s="2"/>
      <c r="C151" s="2"/>
      <c r="D151" s="18" t="s">
        <v>66</v>
      </c>
      <c r="E151" s="228"/>
      <c r="G151" s="469">
        <v>5021199000</v>
      </c>
      <c r="I151" s="6">
        <f>VLOOKUP($G151,'FC1-Pre TB 2024'!$C$10:$F$276,4,FALSE)</f>
        <v>320685054.14999998</v>
      </c>
      <c r="L151" s="346">
        <f>VLOOKUP($G151,'Restated FC1-Pre TB 2023'!$C$10:$D$271,2,FALSE)</f>
        <v>335873490.23000002</v>
      </c>
      <c r="M151" s="410">
        <f t="shared" si="35"/>
        <v>120583.18000000715</v>
      </c>
      <c r="N151" s="37">
        <f>VLOOKUP($G151,'Restated FC1-Pre TB 2023'!$C$10:$H$271,6,FALSE)</f>
        <v>335994073.41000003</v>
      </c>
      <c r="O151" s="241">
        <f t="shared" si="20"/>
        <v>320685054.14999998</v>
      </c>
    </row>
    <row r="152" spans="1:21" x14ac:dyDescent="0.3">
      <c r="A152" s="2"/>
      <c r="B152" s="2"/>
      <c r="C152" s="2"/>
      <c r="D152" s="18" t="s">
        <v>312</v>
      </c>
      <c r="E152" s="228"/>
      <c r="I152" s="153">
        <f>SUM(I148:I151)</f>
        <v>320807694.14999998</v>
      </c>
      <c r="J152" s="152">
        <f t="shared" ref="J152:M152" si="36">SUM(J148:J151)</f>
        <v>0</v>
      </c>
      <c r="K152" s="152">
        <f t="shared" si="36"/>
        <v>0</v>
      </c>
      <c r="L152" s="152">
        <f t="shared" si="36"/>
        <v>336089510.23000002</v>
      </c>
      <c r="M152" s="152">
        <f t="shared" si="36"/>
        <v>120583.18000000715</v>
      </c>
      <c r="N152" s="152">
        <f>SUM(N148:N151)</f>
        <v>336210093.41000003</v>
      </c>
      <c r="O152" s="241">
        <f t="shared" si="20"/>
        <v>320807694.14999998</v>
      </c>
    </row>
    <row r="153" spans="1:21" x14ac:dyDescent="0.3">
      <c r="A153" s="2"/>
      <c r="B153" s="2"/>
      <c r="C153" s="2"/>
      <c r="D153" s="18"/>
      <c r="E153" s="228"/>
      <c r="I153" s="230"/>
      <c r="O153" s="241">
        <f t="shared" si="20"/>
        <v>0</v>
      </c>
    </row>
    <row r="154" spans="1:21" x14ac:dyDescent="0.3">
      <c r="A154" s="2"/>
      <c r="B154" s="2"/>
      <c r="C154" s="2" t="s">
        <v>313</v>
      </c>
      <c r="D154" s="18"/>
      <c r="E154" s="228"/>
      <c r="F154" s="326">
        <v>18.899999999999999</v>
      </c>
      <c r="O154" s="241">
        <f t="shared" si="20"/>
        <v>0</v>
      </c>
    </row>
    <row r="155" spans="1:21" s="2" customFormat="1" x14ac:dyDescent="0.3">
      <c r="D155" s="18" t="s">
        <v>64</v>
      </c>
      <c r="E155" s="228"/>
      <c r="F155" s="312"/>
      <c r="G155" s="469">
        <v>5021202000</v>
      </c>
      <c r="H155" s="470"/>
      <c r="I155" s="6">
        <f>VLOOKUP($G155,'FC1-Pre TB 2024'!$C$10:$F$276,4,FALSE)</f>
        <v>2231723.37</v>
      </c>
      <c r="K155" s="15"/>
      <c r="L155" s="346">
        <f>VLOOKUP($G155,'Restated FC1-Pre TB 2023'!$C$10:$D$271,2,FALSE)</f>
        <v>1454063.36</v>
      </c>
      <c r="M155" s="410">
        <f t="shared" ref="M155:M157" si="37">N155-L155</f>
        <v>223988.20999999996</v>
      </c>
      <c r="N155" s="37">
        <f>VLOOKUP($G155,'Restated FC1-Pre TB 2023'!$C$10:$H$271,6,FALSE)</f>
        <v>1678051.57</v>
      </c>
      <c r="O155" s="241">
        <f t="shared" si="20"/>
        <v>2231723.37</v>
      </c>
      <c r="P155" s="37"/>
      <c r="Q155" s="37"/>
      <c r="R155" s="37"/>
      <c r="T155" s="37"/>
      <c r="U155" s="37"/>
    </row>
    <row r="156" spans="1:21" s="2" customFormat="1" x14ac:dyDescent="0.3">
      <c r="D156" s="18" t="s">
        <v>65</v>
      </c>
      <c r="E156" s="228"/>
      <c r="F156" s="312"/>
      <c r="G156" s="469">
        <v>5021203000</v>
      </c>
      <c r="H156" s="470"/>
      <c r="I156" s="6">
        <f>VLOOKUP($G156,'FC1-Pre TB 2024'!$C$10:$F$276,4,FALSE)</f>
        <v>14762788.01</v>
      </c>
      <c r="K156" s="15"/>
      <c r="L156" s="346">
        <f>VLOOKUP($G156,'Restated FC1-Pre TB 2023'!$C$10:$D$271,2,FALSE)</f>
        <v>9362020.6500000004</v>
      </c>
      <c r="M156" s="410">
        <f t="shared" si="37"/>
        <v>2198453.040000001</v>
      </c>
      <c r="N156" s="37">
        <f>VLOOKUP($G156,'Restated FC1-Pre TB 2023'!$C$10:$H$271,6,FALSE)</f>
        <v>11560473.690000001</v>
      </c>
      <c r="O156" s="241">
        <f t="shared" si="20"/>
        <v>14762788.01</v>
      </c>
      <c r="P156" s="37"/>
      <c r="Q156" s="37"/>
      <c r="R156" s="37"/>
      <c r="T156" s="37"/>
      <c r="U156" s="37"/>
    </row>
    <row r="157" spans="1:21" s="2" customFormat="1" x14ac:dyDescent="0.3">
      <c r="D157" s="18" t="s">
        <v>208</v>
      </c>
      <c r="E157" s="228"/>
      <c r="F157" s="312"/>
      <c r="G157" s="469">
        <v>5021299000</v>
      </c>
      <c r="H157" s="470"/>
      <c r="I157" s="6">
        <f>VLOOKUP($G157,'FC1-Pre TB 2024'!$C$10:$F$276,4,FALSE)</f>
        <v>0</v>
      </c>
      <c r="K157" s="15"/>
      <c r="L157" s="346">
        <f>VLOOKUP($G157,'Restated FC1-Pre TB 2023'!$C$10:$D$271,2,FALSE)</f>
        <v>0</v>
      </c>
      <c r="M157" s="410">
        <f t="shared" si="37"/>
        <v>0</v>
      </c>
      <c r="N157" s="37">
        <f>VLOOKUP($G157,'Restated FC1-Pre TB 2023'!$C$10:$H$271,6,FALSE)</f>
        <v>0</v>
      </c>
      <c r="O157" s="241">
        <f t="shared" si="20"/>
        <v>0</v>
      </c>
      <c r="P157" s="37"/>
      <c r="Q157" s="37"/>
      <c r="R157" s="37"/>
      <c r="T157" s="37"/>
      <c r="U157" s="37"/>
    </row>
    <row r="158" spans="1:21" s="2" customFormat="1" x14ac:dyDescent="0.3">
      <c r="D158" s="18" t="s">
        <v>314</v>
      </c>
      <c r="E158" s="228"/>
      <c r="F158" s="312"/>
      <c r="G158" s="469"/>
      <c r="H158" s="470"/>
      <c r="I158" s="153">
        <f>SUM(I155:I157)</f>
        <v>16994511.379999999</v>
      </c>
      <c r="J158" s="152">
        <f t="shared" ref="J158:M158" si="38">SUM(J155:J157)</f>
        <v>0</v>
      </c>
      <c r="K158" s="152">
        <f t="shared" si="38"/>
        <v>0</v>
      </c>
      <c r="L158" s="152">
        <f t="shared" si="38"/>
        <v>10816084.01</v>
      </c>
      <c r="M158" s="152">
        <f t="shared" si="38"/>
        <v>2422441.2500000009</v>
      </c>
      <c r="N158" s="152">
        <f>SUM(N155:N157)</f>
        <v>13238525.260000002</v>
      </c>
      <c r="O158" s="241">
        <f t="shared" si="20"/>
        <v>16994511.379999999</v>
      </c>
      <c r="P158" s="37"/>
      <c r="Q158" s="37"/>
      <c r="R158" s="37"/>
      <c r="T158" s="37"/>
      <c r="U158" s="37"/>
    </row>
    <row r="159" spans="1:21" s="2" customFormat="1" x14ac:dyDescent="0.3">
      <c r="D159" s="18"/>
      <c r="E159" s="228"/>
      <c r="F159" s="312"/>
      <c r="G159" s="469"/>
      <c r="H159" s="470"/>
      <c r="I159" s="230"/>
      <c r="K159" s="15"/>
      <c r="L159" s="15"/>
      <c r="M159" s="15"/>
      <c r="N159" s="37"/>
      <c r="O159" s="241">
        <f t="shared" ref="O159:O223" si="39">I159</f>
        <v>0</v>
      </c>
      <c r="P159" s="37"/>
      <c r="Q159" s="37"/>
      <c r="R159" s="37"/>
      <c r="T159" s="37"/>
      <c r="U159" s="37"/>
    </row>
    <row r="160" spans="1:21" s="2" customFormat="1" x14ac:dyDescent="0.3">
      <c r="C160" s="2" t="s">
        <v>315</v>
      </c>
      <c r="D160" s="18"/>
      <c r="E160" s="228"/>
      <c r="F160" s="326" t="s">
        <v>571</v>
      </c>
      <c r="G160" s="469"/>
      <c r="H160" s="470"/>
      <c r="I160" s="6"/>
      <c r="K160" s="15"/>
      <c r="L160" s="15"/>
      <c r="M160" s="15"/>
      <c r="N160" s="37"/>
      <c r="O160" s="241">
        <f t="shared" si="39"/>
        <v>0</v>
      </c>
      <c r="P160" s="37"/>
      <c r="Q160" s="37"/>
      <c r="R160" s="37"/>
      <c r="T160" s="37"/>
      <c r="U160" s="37"/>
    </row>
    <row r="161" spans="1:21" x14ac:dyDescent="0.3">
      <c r="A161" s="2"/>
      <c r="B161" s="2"/>
      <c r="C161" s="2"/>
      <c r="D161" s="18" t="s">
        <v>155</v>
      </c>
      <c r="E161" s="228"/>
      <c r="G161" s="469">
        <v>5021304001</v>
      </c>
      <c r="I161" s="6">
        <f>VLOOKUP($G161,'FC1-Pre TB 2024'!$C$10:$F$276,4,FALSE)</f>
        <v>9647742.2100000009</v>
      </c>
      <c r="L161" s="346">
        <f>VLOOKUP($G161,'Restated FC1-Pre TB 2023'!$C$10:$D$271,2,FALSE)</f>
        <v>4107385.78</v>
      </c>
      <c r="M161" s="410">
        <f t="shared" ref="M161:M172" si="40">N161-L161</f>
        <v>94199.999999999534</v>
      </c>
      <c r="N161" s="37">
        <f>VLOOKUP($G161,'Restated FC1-Pre TB 2023'!$C$10:$H$271,6,FALSE)</f>
        <v>4201585.7799999993</v>
      </c>
      <c r="O161" s="241">
        <f t="shared" si="39"/>
        <v>9647742.2100000009</v>
      </c>
    </row>
    <row r="162" spans="1:21" hidden="1" x14ac:dyDescent="0.3">
      <c r="A162" s="2"/>
      <c r="B162" s="2"/>
      <c r="C162" s="2"/>
      <c r="D162" s="18" t="s">
        <v>156</v>
      </c>
      <c r="E162" s="228"/>
      <c r="G162" s="469">
        <v>5021304006</v>
      </c>
      <c r="I162" s="6">
        <f>VLOOKUP($G162,'FC1-Pre TB 2024'!$C$10:$F$276,4,FALSE)</f>
        <v>0</v>
      </c>
      <c r="L162" s="346">
        <f>VLOOKUP($G162,'Restated FC1-Pre TB 2023'!$C$10:$D$271,2,FALSE)</f>
        <v>0</v>
      </c>
      <c r="M162" s="410">
        <f t="shared" si="40"/>
        <v>0</v>
      </c>
      <c r="N162" s="37">
        <f>VLOOKUP($G162,'Restated FC1-Pre TB 2023'!$C$10:$H$271,6,FALSE)</f>
        <v>0</v>
      </c>
      <c r="O162" s="241">
        <f t="shared" si="39"/>
        <v>0</v>
      </c>
    </row>
    <row r="163" spans="1:21" x14ac:dyDescent="0.3">
      <c r="A163" s="2"/>
      <c r="B163" s="2"/>
      <c r="C163" s="2"/>
      <c r="D163" s="18" t="s">
        <v>157</v>
      </c>
      <c r="E163" s="228"/>
      <c r="G163" s="469">
        <v>5021304099</v>
      </c>
      <c r="I163" s="6">
        <f>VLOOKUP($G163,'FC1-Pre TB 2024'!$C$10:$F$276,4,FALSE)</f>
        <v>1308999.58</v>
      </c>
      <c r="L163" s="346">
        <f>VLOOKUP($G163,'Restated FC1-Pre TB 2023'!$C$10:$D$271,2,FALSE)</f>
        <v>0</v>
      </c>
      <c r="M163" s="410">
        <f t="shared" si="40"/>
        <v>0</v>
      </c>
      <c r="N163" s="37">
        <f>VLOOKUP($G163,'Restated FC1-Pre TB 2023'!$C$10:$H$271,6,FALSE)</f>
        <v>0</v>
      </c>
      <c r="O163" s="241">
        <f t="shared" si="39"/>
        <v>1308999.58</v>
      </c>
    </row>
    <row r="164" spans="1:21" x14ac:dyDescent="0.3">
      <c r="A164" s="2"/>
      <c r="B164" s="2"/>
      <c r="C164" s="2"/>
      <c r="D164" s="18" t="s">
        <v>483</v>
      </c>
      <c r="E164" s="228"/>
      <c r="G164" s="469">
        <v>5021305001</v>
      </c>
      <c r="I164" s="6">
        <f>VLOOKUP($G164,'FC1-Pre TB 2024'!$C$10:$F$276,4,FALSE)</f>
        <v>2507</v>
      </c>
      <c r="L164" s="346">
        <f>VLOOKUP($G164,'Restated FC1-Pre TB 2023'!$C$10:$D$271,2,FALSE)</f>
        <v>256150</v>
      </c>
      <c r="M164" s="410">
        <f t="shared" si="40"/>
        <v>0</v>
      </c>
      <c r="N164" s="37">
        <f>VLOOKUP($G164,'Restated FC1-Pre TB 2023'!$C$10:$H$271,6,FALSE)</f>
        <v>256150</v>
      </c>
      <c r="O164" s="241"/>
    </row>
    <row r="165" spans="1:21" hidden="1" x14ac:dyDescent="0.3">
      <c r="A165" s="2"/>
      <c r="B165" s="2"/>
      <c r="C165" s="2"/>
      <c r="D165" s="18" t="s">
        <v>158</v>
      </c>
      <c r="E165" s="228"/>
      <c r="G165" s="469">
        <v>5021309000</v>
      </c>
      <c r="I165" s="6">
        <f>VLOOKUP($G165,'FC1-Pre TB 2024'!$C$10:$F$276,4,FALSE)</f>
        <v>0</v>
      </c>
      <c r="L165" s="346">
        <f>VLOOKUP($G165,'Restated FC1-Pre TB 2023'!$C$10:$D$271,2,FALSE)</f>
        <v>0</v>
      </c>
      <c r="M165" s="410">
        <f t="shared" si="40"/>
        <v>0</v>
      </c>
      <c r="N165" s="37">
        <f>VLOOKUP($G165,'Restated FC1-Pre TB 2023'!$C$10:$H$271,6,FALSE)</f>
        <v>0</v>
      </c>
      <c r="O165" s="241">
        <f t="shared" si="39"/>
        <v>0</v>
      </c>
    </row>
    <row r="166" spans="1:21" x14ac:dyDescent="0.3">
      <c r="A166" s="2"/>
      <c r="B166" s="2"/>
      <c r="C166" s="2"/>
      <c r="D166" s="18" t="s">
        <v>67</v>
      </c>
      <c r="E166" s="228"/>
      <c r="G166" s="469">
        <v>5021307000</v>
      </c>
      <c r="I166" s="6">
        <f>VLOOKUP($G166,'FC1-Pre TB 2024'!$C$10:$F$276,4,FALSE)</f>
        <v>3107</v>
      </c>
      <c r="L166" s="346">
        <f>VLOOKUP($G166,'Restated FC1-Pre TB 2023'!$C$10:$D$271,2,FALSE)</f>
        <v>8486</v>
      </c>
      <c r="M166" s="410">
        <f t="shared" si="40"/>
        <v>0</v>
      </c>
      <c r="N166" s="37">
        <f>VLOOKUP($G166,'Restated FC1-Pre TB 2023'!$C$10:$H$271,6,FALSE)</f>
        <v>8486</v>
      </c>
      <c r="O166" s="241">
        <f t="shared" si="39"/>
        <v>3107</v>
      </c>
    </row>
    <row r="167" spans="1:21" x14ac:dyDescent="0.3">
      <c r="A167" s="2"/>
      <c r="B167" s="2"/>
      <c r="C167" s="2"/>
      <c r="D167" s="18" t="s">
        <v>159</v>
      </c>
      <c r="E167" s="228"/>
      <c r="G167" s="469">
        <v>5021305002</v>
      </c>
      <c r="I167" s="6">
        <f>VLOOKUP($G167,'FC1-Pre TB 2024'!$C$10:$F$276,4,FALSE)</f>
        <v>1080</v>
      </c>
      <c r="L167" s="346">
        <f>VLOOKUP($G167,'Restated FC1-Pre TB 2023'!$C$10:$D$271,2,FALSE)</f>
        <v>12613.75</v>
      </c>
      <c r="M167" s="410">
        <f t="shared" si="40"/>
        <v>0</v>
      </c>
      <c r="N167" s="37">
        <f>VLOOKUP($G167,'Restated FC1-Pre TB 2023'!$C$10:$H$271,6,FALSE)</f>
        <v>12613.75</v>
      </c>
      <c r="O167" s="241">
        <f t="shared" si="39"/>
        <v>1080</v>
      </c>
    </row>
    <row r="168" spans="1:21" x14ac:dyDescent="0.3">
      <c r="A168" s="2"/>
      <c r="B168" s="2"/>
      <c r="C168" s="2"/>
      <c r="D168" s="18" t="s">
        <v>160</v>
      </c>
      <c r="E168" s="228"/>
      <c r="G168" s="469">
        <v>5021305003</v>
      </c>
      <c r="I168" s="6">
        <f>VLOOKUP($G168,'FC1-Pre TB 2024'!$C$10:$F$276,4,FALSE)</f>
        <v>135000</v>
      </c>
      <c r="L168" s="346">
        <f>VLOOKUP($G168,'Restated FC1-Pre TB 2023'!$C$10:$D$271,2,FALSE)</f>
        <v>1619037.89</v>
      </c>
      <c r="M168" s="410">
        <f t="shared" si="40"/>
        <v>194646</v>
      </c>
      <c r="N168" s="37">
        <f>VLOOKUP($G168,'Restated FC1-Pre TB 2023'!$C$10:$H$271,6,FALSE)</f>
        <v>1813683.89</v>
      </c>
      <c r="O168" s="241">
        <f t="shared" si="39"/>
        <v>135000</v>
      </c>
    </row>
    <row r="169" spans="1:21" x14ac:dyDescent="0.3">
      <c r="A169" s="2"/>
      <c r="B169" s="2"/>
      <c r="C169" s="2"/>
      <c r="D169" s="18" t="s">
        <v>161</v>
      </c>
      <c r="E169" s="228"/>
      <c r="G169" s="469">
        <v>5021305007</v>
      </c>
      <c r="I169" s="6">
        <f>VLOOKUP($G169,'FC1-Pre TB 2024'!$C$10:$F$276,4,FALSE)</f>
        <v>0</v>
      </c>
      <c r="L169" s="346">
        <f>VLOOKUP($G169,'Restated FC1-Pre TB 2023'!$C$10:$D$271,2,FALSE)</f>
        <v>600</v>
      </c>
      <c r="M169" s="410">
        <f t="shared" si="40"/>
        <v>0</v>
      </c>
      <c r="N169" s="37">
        <f>VLOOKUP($G169,'Restated FC1-Pre TB 2023'!$C$10:$H$271,6,FALSE)</f>
        <v>600</v>
      </c>
      <c r="O169" s="241">
        <f t="shared" si="39"/>
        <v>0</v>
      </c>
    </row>
    <row r="170" spans="1:21" x14ac:dyDescent="0.3">
      <c r="A170" s="2"/>
      <c r="B170" s="2"/>
      <c r="C170" s="2"/>
      <c r="D170" s="18" t="s">
        <v>491</v>
      </c>
      <c r="E170" s="228"/>
      <c r="G170" s="469">
        <v>5021305099</v>
      </c>
      <c r="I170" s="6">
        <f>VLOOKUP($G170,'FC1-Pre TB 2024'!$C$10:$F$276,4,FALSE)</f>
        <v>1016723</v>
      </c>
      <c r="L170" s="346">
        <f>VLOOKUP($G170,'Restated FC1-Pre TB 2023'!$C$10:$D$271,2,FALSE)</f>
        <v>52837.05</v>
      </c>
      <c r="M170" s="410">
        <f t="shared" si="40"/>
        <v>0</v>
      </c>
      <c r="N170" s="37">
        <f>VLOOKUP($G170,'Restated FC1-Pre TB 2023'!$C$10:$H$271,6,FALSE)</f>
        <v>52837.05</v>
      </c>
      <c r="O170" s="241">
        <f t="shared" si="39"/>
        <v>1016723</v>
      </c>
    </row>
    <row r="171" spans="1:21" x14ac:dyDescent="0.3">
      <c r="A171" s="2"/>
      <c r="B171" s="2"/>
      <c r="C171" s="2"/>
      <c r="D171" s="18" t="s">
        <v>163</v>
      </c>
      <c r="E171" s="228"/>
      <c r="G171" s="469">
        <v>5021306001</v>
      </c>
      <c r="I171" s="6">
        <f>VLOOKUP($G171,'FC1-Pre TB 2024'!$C$10:$F$276,4,FALSE)</f>
        <v>5705692.79</v>
      </c>
      <c r="L171" s="346">
        <f>VLOOKUP($G171,'Restated FC1-Pre TB 2023'!$C$10:$D$271,2,FALSE)</f>
        <v>2931760.42</v>
      </c>
      <c r="M171" s="410">
        <f t="shared" si="40"/>
        <v>0</v>
      </c>
      <c r="N171" s="37">
        <f>VLOOKUP($G171,'Restated FC1-Pre TB 2023'!$C$10:$H$271,6,FALSE)</f>
        <v>2931760.42</v>
      </c>
      <c r="O171" s="241">
        <f t="shared" si="39"/>
        <v>5705692.79</v>
      </c>
    </row>
    <row r="172" spans="1:21" hidden="1" x14ac:dyDescent="0.3">
      <c r="A172" s="2"/>
      <c r="B172" s="2"/>
      <c r="C172" s="2"/>
      <c r="D172" s="24" t="s">
        <v>68</v>
      </c>
      <c r="E172" s="228"/>
      <c r="G172" s="469">
        <v>5021399099</v>
      </c>
      <c r="I172" s="6">
        <f>VLOOKUP($G172,'FC1-Pre TB 2024'!$C$10:$F$276,4,FALSE)</f>
        <v>0</v>
      </c>
      <c r="L172" s="346">
        <f>VLOOKUP($G172,'Restated FC1-Pre TB 2023'!$C$10:$D$271,2,FALSE)</f>
        <v>0</v>
      </c>
      <c r="M172" s="410">
        <f t="shared" si="40"/>
        <v>0</v>
      </c>
      <c r="N172" s="37">
        <f>VLOOKUP($G172,'Restated FC1-Pre TB 2023'!$C$10:$H$271,6,FALSE)</f>
        <v>0</v>
      </c>
      <c r="O172" s="241">
        <f t="shared" si="39"/>
        <v>0</v>
      </c>
    </row>
    <row r="173" spans="1:21" x14ac:dyDescent="0.3">
      <c r="A173" s="2"/>
      <c r="B173" s="2"/>
      <c r="C173" s="2"/>
      <c r="D173" s="336" t="s">
        <v>316</v>
      </c>
      <c r="E173" s="228"/>
      <c r="I173" s="153">
        <f>SUM(I161:I172)</f>
        <v>17820851.580000002</v>
      </c>
      <c r="J173" s="152">
        <f t="shared" ref="J173:M173" si="41">SUM(J161:J172)</f>
        <v>0</v>
      </c>
      <c r="K173" s="152">
        <f t="shared" si="41"/>
        <v>0</v>
      </c>
      <c r="L173" s="152">
        <f t="shared" si="41"/>
        <v>8988870.8899999987</v>
      </c>
      <c r="M173" s="152">
        <f t="shared" si="41"/>
        <v>288845.99999999953</v>
      </c>
      <c r="N173" s="152">
        <f>SUM(N161:N172)</f>
        <v>9277716.8899999987</v>
      </c>
      <c r="O173" s="241">
        <f t="shared" si="39"/>
        <v>17820851.580000002</v>
      </c>
    </row>
    <row r="174" spans="1:21" x14ac:dyDescent="0.3">
      <c r="A174" s="2"/>
      <c r="B174" s="2"/>
      <c r="C174" s="2"/>
      <c r="D174" s="24"/>
      <c r="E174" s="228"/>
      <c r="I174" s="230"/>
      <c r="O174" s="241">
        <f t="shared" si="39"/>
        <v>0</v>
      </c>
    </row>
    <row r="175" spans="1:21" x14ac:dyDescent="0.3">
      <c r="A175" s="2"/>
      <c r="B175" s="2"/>
      <c r="C175" s="2" t="s">
        <v>319</v>
      </c>
      <c r="D175" s="24"/>
      <c r="E175" s="228"/>
      <c r="F175" s="326">
        <v>18.11</v>
      </c>
      <c r="O175" s="241">
        <f t="shared" si="39"/>
        <v>0</v>
      </c>
    </row>
    <row r="176" spans="1:21" x14ac:dyDescent="0.3">
      <c r="A176" s="2"/>
      <c r="B176" s="2"/>
      <c r="C176" s="2"/>
      <c r="D176" s="18" t="s">
        <v>70</v>
      </c>
      <c r="E176" s="228"/>
      <c r="G176" s="469">
        <v>5021502000</v>
      </c>
      <c r="I176" s="6">
        <f>VLOOKUP($G176,'FC1-Pre TB 2024'!$C$10:$F$276,4,FALSE)</f>
        <v>2911224.66</v>
      </c>
      <c r="L176" s="346">
        <f>VLOOKUP($G176,'Restated FC1-Pre TB 2023'!$C$10:$D$271,2,FALSE)</f>
        <v>4175006.51</v>
      </c>
      <c r="M176" s="410">
        <f t="shared" ref="M176:M177" si="42">N176-L176</f>
        <v>0</v>
      </c>
      <c r="N176" s="37">
        <f>VLOOKUP($G176,'Restated FC1-Pre TB 2023'!$C$10:$H$271,6,FALSE)</f>
        <v>4175006.51</v>
      </c>
      <c r="O176" s="241">
        <f t="shared" si="39"/>
        <v>2911224.66</v>
      </c>
      <c r="U176" s="239">
        <v>2620171509.5599999</v>
      </c>
    </row>
    <row r="177" spans="1:21" x14ac:dyDescent="0.3">
      <c r="A177" s="2"/>
      <c r="B177" s="2"/>
      <c r="C177" s="2"/>
      <c r="D177" s="18" t="s">
        <v>71</v>
      </c>
      <c r="E177" s="228"/>
      <c r="G177" s="469">
        <v>5021503000</v>
      </c>
      <c r="I177" s="6">
        <f>VLOOKUP($G177,'FC1-Pre TB 2024'!$C$10:$F$276,4,FALSE)</f>
        <v>1757189.85</v>
      </c>
      <c r="L177" s="346">
        <f>VLOOKUP($G177,'Restated FC1-Pre TB 2023'!$C$10:$D$271,2,FALSE)</f>
        <v>1169072.22</v>
      </c>
      <c r="M177" s="410">
        <f t="shared" si="42"/>
        <v>390088.68916663527</v>
      </c>
      <c r="N177" s="37">
        <f>VLOOKUP($G177,'Restated FC1-Pre TB 2023'!$C$10:$H$271,6,FALSE)</f>
        <v>1559160.9091666352</v>
      </c>
      <c r="O177" s="241">
        <f t="shared" si="39"/>
        <v>1757189.85</v>
      </c>
      <c r="U177" s="239">
        <v>16989291.670000002</v>
      </c>
    </row>
    <row r="178" spans="1:21" x14ac:dyDescent="0.3">
      <c r="A178" s="2"/>
      <c r="B178" s="2"/>
      <c r="C178" s="2"/>
      <c r="D178" s="32" t="s">
        <v>320</v>
      </c>
      <c r="E178" s="228"/>
      <c r="I178" s="153">
        <f>SUM(I176:I177)</f>
        <v>4668414.51</v>
      </c>
      <c r="J178" s="152">
        <f t="shared" ref="J178:M178" si="43">SUM(J176:J177)</f>
        <v>0</v>
      </c>
      <c r="K178" s="152">
        <f t="shared" si="43"/>
        <v>0</v>
      </c>
      <c r="L178" s="152">
        <f t="shared" si="43"/>
        <v>5344078.7299999995</v>
      </c>
      <c r="M178" s="152">
        <f t="shared" si="43"/>
        <v>390088.68916663527</v>
      </c>
      <c r="N178" s="152">
        <f>SUM(N176:N177)</f>
        <v>5734167.4191666348</v>
      </c>
      <c r="O178" s="241">
        <f t="shared" si="39"/>
        <v>4668414.51</v>
      </c>
      <c r="T178" s="239">
        <f>N178-[14]FC1DIS!$J$163</f>
        <v>-310094.56083336566</v>
      </c>
      <c r="U178" s="239">
        <f>U176-U177</f>
        <v>2603182217.8899999</v>
      </c>
    </row>
    <row r="179" spans="1:21" x14ac:dyDescent="0.3">
      <c r="A179" s="2"/>
      <c r="B179" s="2"/>
      <c r="C179" s="2"/>
      <c r="D179" s="18"/>
      <c r="E179" s="228"/>
      <c r="I179" s="230"/>
      <c r="O179" s="241">
        <f t="shared" si="39"/>
        <v>0</v>
      </c>
    </row>
    <row r="180" spans="1:21" x14ac:dyDescent="0.3">
      <c r="A180" s="2"/>
      <c r="B180" s="2"/>
      <c r="C180" s="2" t="s">
        <v>170</v>
      </c>
      <c r="D180" s="18"/>
      <c r="E180" s="228"/>
      <c r="F180" s="326">
        <v>18.12</v>
      </c>
      <c r="O180" s="241">
        <f t="shared" si="39"/>
        <v>0</v>
      </c>
    </row>
    <row r="181" spans="1:21" x14ac:dyDescent="0.3">
      <c r="A181" s="2"/>
      <c r="B181" s="2"/>
      <c r="C181" s="2"/>
      <c r="D181" s="18" t="s">
        <v>170</v>
      </c>
      <c r="E181" s="228"/>
      <c r="G181" s="469">
        <v>5021601000</v>
      </c>
      <c r="I181" s="475">
        <f>VLOOKUP($G181,'FC1-Pre TB 2024'!$C$10:$F$276,4,FALSE)</f>
        <v>1456779.61</v>
      </c>
      <c r="L181" s="414">
        <f>VLOOKUP($G181,'Restated FC1-Pre TB 2023'!$C$10:$D$271,2,FALSE)</f>
        <v>1751119.15</v>
      </c>
      <c r="M181" s="412">
        <f t="shared" ref="M181" si="44">N181-L181</f>
        <v>-9774.3899999998976</v>
      </c>
      <c r="N181" s="59">
        <f>VLOOKUP($G181,'Restated FC1-Pre TB 2023'!$C$10:$H$271,6,FALSE)</f>
        <v>1741344.76</v>
      </c>
      <c r="O181" s="241">
        <f t="shared" si="39"/>
        <v>1456779.61</v>
      </c>
      <c r="T181" s="239">
        <f>N181-[14]FC1DIS!$J$166</f>
        <v>1470067.83</v>
      </c>
    </row>
    <row r="182" spans="1:21" x14ac:dyDescent="0.3">
      <c r="A182" s="2"/>
      <c r="B182" s="2"/>
      <c r="C182" s="2"/>
      <c r="D182" s="18"/>
      <c r="E182" s="228"/>
      <c r="O182" s="241">
        <f t="shared" si="39"/>
        <v>0</v>
      </c>
    </row>
    <row r="183" spans="1:21" x14ac:dyDescent="0.3">
      <c r="A183" s="2"/>
      <c r="B183" s="2"/>
      <c r="C183" s="2" t="s">
        <v>80</v>
      </c>
      <c r="D183" s="18"/>
      <c r="E183" s="228"/>
      <c r="F183" s="326">
        <v>18.13</v>
      </c>
      <c r="O183" s="241">
        <f t="shared" si="39"/>
        <v>0</v>
      </c>
    </row>
    <row r="184" spans="1:21" x14ac:dyDescent="0.3">
      <c r="A184" s="2"/>
      <c r="B184" s="2"/>
      <c r="C184" s="2"/>
      <c r="D184" s="18" t="s">
        <v>540</v>
      </c>
      <c r="E184" s="228"/>
      <c r="G184" s="469">
        <v>5029901000</v>
      </c>
      <c r="I184" s="6">
        <f>VLOOKUP($G184,'FC1-Pre TB 2024'!$C$10:$F$276,4,FALSE)</f>
        <v>1599238.24</v>
      </c>
      <c r="L184" s="346">
        <f>VLOOKUP($G184,'Restated FC1-Pre TB 2023'!$C$10:$D$271,2,FALSE)</f>
        <v>1427315</v>
      </c>
      <c r="M184" s="410">
        <f t="shared" ref="M184:M197" si="45">N184-L184</f>
        <v>-175730</v>
      </c>
      <c r="N184" s="37">
        <f>VLOOKUP($G184,'Restated FC1-Pre TB 2023'!$C$10:$H$271,6,FALSE)</f>
        <v>1251585</v>
      </c>
      <c r="O184" s="241">
        <f t="shared" si="39"/>
        <v>1599238.24</v>
      </c>
    </row>
    <row r="185" spans="1:21" x14ac:dyDescent="0.3">
      <c r="A185" s="2"/>
      <c r="B185" s="2"/>
      <c r="C185" s="2"/>
      <c r="D185" s="18" t="s">
        <v>148</v>
      </c>
      <c r="E185" s="228"/>
      <c r="G185" s="469">
        <v>5029902000</v>
      </c>
      <c r="I185" s="6">
        <f>VLOOKUP($G185,'FC1-Pre TB 2024'!$C$10:$F$276,4,FALSE)</f>
        <v>2002899.96</v>
      </c>
      <c r="L185" s="346">
        <f>VLOOKUP($G185,'Restated FC1-Pre TB 2023'!$C$10:$D$271,2,FALSE)</f>
        <v>2112500.4</v>
      </c>
      <c r="M185" s="410">
        <f t="shared" si="45"/>
        <v>274550</v>
      </c>
      <c r="N185" s="37">
        <f>VLOOKUP($G185,'Restated FC1-Pre TB 2023'!$C$10:$H$271,6,FALSE)</f>
        <v>2387050.4</v>
      </c>
      <c r="O185" s="241">
        <f t="shared" si="39"/>
        <v>2002899.96</v>
      </c>
    </row>
    <row r="186" spans="1:21" x14ac:dyDescent="0.3">
      <c r="A186" s="2"/>
      <c r="B186" s="2"/>
      <c r="C186" s="2"/>
      <c r="D186" s="18" t="s">
        <v>59</v>
      </c>
      <c r="E186" s="228"/>
      <c r="G186" s="469">
        <v>5029903000</v>
      </c>
      <c r="I186" s="6">
        <f>VLOOKUP($G186,'FC1-Pre TB 2024'!$C$10:$F$276,4,FALSE)</f>
        <v>13657298.08</v>
      </c>
      <c r="L186" s="346">
        <f>VLOOKUP($G186,'Restated FC1-Pre TB 2023'!$C$10:$D$271,2,FALSE)</f>
        <v>6764260.4500000002</v>
      </c>
      <c r="M186" s="410">
        <f t="shared" si="45"/>
        <v>1036685</v>
      </c>
      <c r="N186" s="37">
        <f>VLOOKUP($G186,'Restated FC1-Pre TB 2023'!$C$10:$H$271,6,FALSE)</f>
        <v>7800945.4500000002</v>
      </c>
      <c r="O186" s="241">
        <f t="shared" si="39"/>
        <v>13657298.08</v>
      </c>
    </row>
    <row r="187" spans="1:21" x14ac:dyDescent="0.3">
      <c r="A187" s="2"/>
      <c r="B187" s="2"/>
      <c r="C187" s="2"/>
      <c r="D187" s="18" t="s">
        <v>60</v>
      </c>
      <c r="E187" s="228"/>
      <c r="G187" s="469">
        <v>5029904000</v>
      </c>
      <c r="I187" s="6">
        <f>VLOOKUP($G187,'FC1-Pre TB 2024'!$C$10:$F$276,4,FALSE)</f>
        <v>497700</v>
      </c>
      <c r="L187" s="346">
        <f>VLOOKUP($G187,'Restated FC1-Pre TB 2023'!$C$10:$D$271,2,FALSE)</f>
        <v>1232550</v>
      </c>
      <c r="M187" s="410">
        <f t="shared" si="45"/>
        <v>950000</v>
      </c>
      <c r="N187" s="37">
        <f>VLOOKUP($G187,'Restated FC1-Pre TB 2023'!$C$10:$H$271,6,FALSE)</f>
        <v>2182550</v>
      </c>
      <c r="O187" s="241">
        <f t="shared" si="39"/>
        <v>497700</v>
      </c>
    </row>
    <row r="188" spans="1:21" x14ac:dyDescent="0.3">
      <c r="A188" s="2"/>
      <c r="B188" s="2"/>
      <c r="C188" s="2"/>
      <c r="D188" s="18" t="s">
        <v>149</v>
      </c>
      <c r="E188" s="228"/>
      <c r="G188" s="469">
        <v>5029905001</v>
      </c>
      <c r="I188" s="6">
        <f>VLOOKUP($G188,'FC1-Pre TB 2024'!$C$10:$F$276,4,FALSE)</f>
        <v>5074521.05</v>
      </c>
      <c r="L188" s="346">
        <f>VLOOKUP($G188,'Restated FC1-Pre TB 2023'!$C$10:$D$271,2,FALSE)</f>
        <v>2597469.12</v>
      </c>
      <c r="M188" s="410">
        <f t="shared" si="45"/>
        <v>30000</v>
      </c>
      <c r="N188" s="37">
        <f>VLOOKUP($G188,'Restated FC1-Pre TB 2023'!$C$10:$H$271,6,FALSE)</f>
        <v>2627469.12</v>
      </c>
      <c r="O188" s="241">
        <f t="shared" si="39"/>
        <v>5074521.05</v>
      </c>
    </row>
    <row r="189" spans="1:21" x14ac:dyDescent="0.3">
      <c r="A189" s="2"/>
      <c r="B189" s="2"/>
      <c r="C189" s="2"/>
      <c r="D189" s="18" t="s">
        <v>150</v>
      </c>
      <c r="E189" s="228"/>
      <c r="G189" s="469">
        <v>5029905003</v>
      </c>
      <c r="I189" s="6">
        <f>VLOOKUP($G189,'FC1-Pre TB 2024'!$C$10:$F$276,4,FALSE)</f>
        <v>9425550</v>
      </c>
      <c r="L189" s="346">
        <f>VLOOKUP($G189,'Restated FC1-Pre TB 2023'!$C$10:$D$271,2,FALSE)</f>
        <v>10130032.130000001</v>
      </c>
      <c r="M189" s="410">
        <f t="shared" si="45"/>
        <v>6000</v>
      </c>
      <c r="N189" s="37">
        <f>VLOOKUP($G189,'Restated FC1-Pre TB 2023'!$C$10:$H$271,6,FALSE)</f>
        <v>10136032.130000001</v>
      </c>
      <c r="O189" s="241">
        <f t="shared" si="39"/>
        <v>9425550</v>
      </c>
    </row>
    <row r="190" spans="1:21" hidden="1" x14ac:dyDescent="0.3">
      <c r="A190" s="2"/>
      <c r="B190" s="2"/>
      <c r="C190" s="2"/>
      <c r="D190" s="18" t="s">
        <v>151</v>
      </c>
      <c r="E190" s="228"/>
      <c r="G190" s="469">
        <v>5029905004</v>
      </c>
      <c r="I190" s="6">
        <f>VLOOKUP($G190,'FC1-Pre TB 2024'!$C$10:$F$276,4,FALSE)</f>
        <v>0</v>
      </c>
      <c r="L190" s="346">
        <f>VLOOKUP($G190,'Restated FC1-Pre TB 2023'!$C$10:$D$271,2,FALSE)</f>
        <v>0</v>
      </c>
      <c r="M190" s="410">
        <f t="shared" si="45"/>
        <v>0</v>
      </c>
      <c r="N190" s="37">
        <f>VLOOKUP($G190,'Restated FC1-Pre TB 2023'!$C$10:$H$271,6,FALSE)</f>
        <v>0</v>
      </c>
      <c r="O190" s="241">
        <f t="shared" si="39"/>
        <v>0</v>
      </c>
    </row>
    <row r="191" spans="1:21" hidden="1" x14ac:dyDescent="0.3">
      <c r="A191" s="2"/>
      <c r="B191" s="2"/>
      <c r="C191" s="2"/>
      <c r="D191" s="18" t="s">
        <v>152</v>
      </c>
      <c r="E191" s="228"/>
      <c r="G191" s="469">
        <v>5029905005</v>
      </c>
      <c r="I191" s="6">
        <f>VLOOKUP($G191,'FC1-Pre TB 2024'!$C$10:$F$276,4,FALSE)</f>
        <v>0</v>
      </c>
      <c r="L191" s="346">
        <f>VLOOKUP($G191,'Restated FC1-Pre TB 2023'!$C$10:$D$271,2,FALSE)</f>
        <v>0</v>
      </c>
      <c r="M191" s="410">
        <f t="shared" si="45"/>
        <v>0</v>
      </c>
      <c r="N191" s="37">
        <f>VLOOKUP($G191,'Restated FC1-Pre TB 2023'!$C$10:$H$271,6,FALSE)</f>
        <v>0</v>
      </c>
      <c r="O191" s="241">
        <f t="shared" si="39"/>
        <v>0</v>
      </c>
    </row>
    <row r="192" spans="1:21" hidden="1" x14ac:dyDescent="0.3">
      <c r="A192" s="2"/>
      <c r="B192" s="2"/>
      <c r="C192" s="2"/>
      <c r="D192" s="18" t="s">
        <v>416</v>
      </c>
      <c r="E192" s="228"/>
      <c r="G192" s="469">
        <v>5029905008</v>
      </c>
      <c r="I192" s="6">
        <f>VLOOKUP($G192,'FC1-Pre TB 2024'!$C$10:$F$276,4,FALSE)</f>
        <v>0</v>
      </c>
      <c r="L192" s="346">
        <f>VLOOKUP($G192,'Restated FC1-Pre TB 2023'!$C$10:$D$271,2,FALSE)</f>
        <v>0</v>
      </c>
      <c r="M192" s="410">
        <f t="shared" si="45"/>
        <v>0</v>
      </c>
      <c r="N192" s="37">
        <f>VLOOKUP($G192,'Restated FC1-Pre TB 2023'!$C$10:$H$271,6,FALSE)</f>
        <v>0</v>
      </c>
      <c r="O192" s="241">
        <f t="shared" si="39"/>
        <v>0</v>
      </c>
    </row>
    <row r="193" spans="1:20" hidden="1" x14ac:dyDescent="0.3">
      <c r="A193" s="2"/>
      <c r="B193" s="2"/>
      <c r="C193" s="2"/>
      <c r="D193" s="18" t="s">
        <v>153</v>
      </c>
      <c r="E193" s="228"/>
      <c r="G193" s="469">
        <v>5029905006</v>
      </c>
      <c r="I193" s="6">
        <f>VLOOKUP($G193,'FC1-Pre TB 2024'!$C$10:$F$276,4,FALSE)</f>
        <v>0</v>
      </c>
      <c r="L193" s="346">
        <f>VLOOKUP($G193,'Restated FC1-Pre TB 2023'!$C$10:$D$271,2,FALSE)</f>
        <v>0</v>
      </c>
      <c r="M193" s="410">
        <f t="shared" si="45"/>
        <v>0</v>
      </c>
      <c r="N193" s="37">
        <f>VLOOKUP($G193,'Restated FC1-Pre TB 2023'!$C$10:$H$271,6,FALSE)</f>
        <v>0</v>
      </c>
      <c r="O193" s="241">
        <f t="shared" si="39"/>
        <v>0</v>
      </c>
    </row>
    <row r="194" spans="1:20" hidden="1" x14ac:dyDescent="0.3">
      <c r="A194" s="2"/>
      <c r="B194" s="2"/>
      <c r="C194" s="2"/>
      <c r="D194" s="18" t="s">
        <v>57</v>
      </c>
      <c r="E194" s="228"/>
      <c r="G194" s="469">
        <v>5029906000</v>
      </c>
      <c r="I194" s="6">
        <f>VLOOKUP($G194,'FC1-Pre TB 2024'!$C$10:$F$276,4,FALSE)</f>
        <v>0</v>
      </c>
      <c r="L194" s="346">
        <f>VLOOKUP($G194,'Restated FC1-Pre TB 2023'!$C$10:$D$271,2,FALSE)</f>
        <v>0</v>
      </c>
      <c r="M194" s="410">
        <f t="shared" si="45"/>
        <v>0</v>
      </c>
      <c r="N194" s="37">
        <f>VLOOKUP($G194,'Restated FC1-Pre TB 2023'!$C$10:$H$271,6,FALSE)</f>
        <v>0</v>
      </c>
      <c r="O194" s="241">
        <f t="shared" si="39"/>
        <v>0</v>
      </c>
    </row>
    <row r="195" spans="1:20" x14ac:dyDescent="0.3">
      <c r="A195" s="2"/>
      <c r="B195" s="2"/>
      <c r="C195" s="2"/>
      <c r="D195" s="18" t="s">
        <v>61</v>
      </c>
      <c r="E195" s="228"/>
      <c r="G195" s="469">
        <v>5029907000</v>
      </c>
      <c r="I195" s="6">
        <f>VLOOKUP($G195,'FC1-Pre TB 2024'!$C$10:$F$276,4,FALSE)</f>
        <v>655281.54</v>
      </c>
      <c r="L195" s="346">
        <f>VLOOKUP($G195,'Restated FC1-Pre TB 2023'!$C$10:$D$271,2,FALSE)</f>
        <v>211085</v>
      </c>
      <c r="M195" s="410">
        <f t="shared" si="45"/>
        <v>0</v>
      </c>
      <c r="N195" s="37">
        <f>VLOOKUP($G195,'Restated FC1-Pre TB 2023'!$C$10:$H$271,6,FALSE)</f>
        <v>211085</v>
      </c>
      <c r="O195" s="241">
        <f t="shared" si="39"/>
        <v>655281.54</v>
      </c>
    </row>
    <row r="196" spans="1:20" hidden="1" x14ac:dyDescent="0.3">
      <c r="A196" s="2"/>
      <c r="B196" s="2"/>
      <c r="C196" s="2"/>
      <c r="D196" s="18" t="s">
        <v>458</v>
      </c>
      <c r="E196" s="228"/>
      <c r="G196" s="469">
        <v>5029907001</v>
      </c>
      <c r="I196" s="6">
        <f>VLOOKUP($G196,'FC1-Pre TB 2024'!$C$10:$F$276,4,FALSE)</f>
        <v>0</v>
      </c>
      <c r="L196" s="346">
        <f>VLOOKUP($G196,'Restated FC1-Pre TB 2023'!$C$10:$D$271,2,FALSE)</f>
        <v>0</v>
      </c>
      <c r="M196" s="410">
        <f t="shared" si="45"/>
        <v>0</v>
      </c>
      <c r="N196" s="37">
        <f>VLOOKUP($G196,'Restated FC1-Pre TB 2023'!$C$10:$H$271,6,FALSE)</f>
        <v>0</v>
      </c>
      <c r="O196" s="241">
        <f t="shared" si="39"/>
        <v>0</v>
      </c>
    </row>
    <row r="197" spans="1:20" x14ac:dyDescent="0.3">
      <c r="A197" s="2"/>
      <c r="B197" s="2"/>
      <c r="C197" s="2"/>
      <c r="D197" s="18" t="s">
        <v>80</v>
      </c>
      <c r="E197" s="228"/>
      <c r="G197" s="469">
        <v>5029999099</v>
      </c>
      <c r="I197" s="471">
        <f>VLOOKUP($G197,'FC1-Pre TB 2024'!$C$10:$F$276,4,FALSE)</f>
        <v>7742218.0499999998</v>
      </c>
      <c r="J197" s="5"/>
      <c r="K197" s="345"/>
      <c r="L197" s="347">
        <f>VLOOKUP($G197,'Restated FC1-Pre TB 2023'!$C$10:$D$271,2,FALSE)</f>
        <v>7296683.4199999999</v>
      </c>
      <c r="M197" s="411">
        <f t="shared" si="45"/>
        <v>717272.43999999948</v>
      </c>
      <c r="N197" s="37">
        <f>VLOOKUP($G197,'Restated FC1-Pre TB 2023'!$C$10:$H$271,6,FALSE)</f>
        <v>8013955.8599999994</v>
      </c>
      <c r="O197" s="241"/>
    </row>
    <row r="198" spans="1:20" x14ac:dyDescent="0.3">
      <c r="A198" s="2"/>
      <c r="B198" s="2"/>
      <c r="C198" s="2"/>
      <c r="D198" s="18" t="s">
        <v>321</v>
      </c>
      <c r="E198" s="228"/>
      <c r="I198" s="475">
        <f>SUM(I184:I197)</f>
        <v>40654706.920000002</v>
      </c>
      <c r="J198" s="57">
        <f t="shared" ref="J198:M198" si="46">SUM(J184:J197)</f>
        <v>0</v>
      </c>
      <c r="K198" s="57">
        <f t="shared" si="46"/>
        <v>0</v>
      </c>
      <c r="L198" s="57">
        <f t="shared" si="46"/>
        <v>31771895.520000003</v>
      </c>
      <c r="M198" s="57">
        <f t="shared" si="46"/>
        <v>2838777.4399999995</v>
      </c>
      <c r="N198" s="156">
        <f>SUM(N184:N197)</f>
        <v>34610672.960000001</v>
      </c>
      <c r="O198" s="241"/>
    </row>
    <row r="199" spans="1:20" x14ac:dyDescent="0.3">
      <c r="A199" s="2"/>
      <c r="B199" s="2"/>
      <c r="C199" s="2"/>
      <c r="D199" s="258"/>
      <c r="E199" s="259"/>
      <c r="F199" s="327"/>
      <c r="G199" s="477"/>
      <c r="H199" s="478"/>
      <c r="I199" s="155"/>
      <c r="J199" s="4"/>
      <c r="K199" s="22"/>
      <c r="L199" s="22"/>
      <c r="M199" s="22"/>
      <c r="N199" s="49"/>
      <c r="O199" s="260"/>
      <c r="P199" s="242" t="e">
        <f>#REF!+I198</f>
        <v>#REF!</v>
      </c>
    </row>
    <row r="200" spans="1:20" x14ac:dyDescent="0.3">
      <c r="A200" s="2"/>
      <c r="B200" s="2"/>
      <c r="C200" s="2"/>
      <c r="D200" s="18"/>
      <c r="E200" s="228"/>
      <c r="O200" s="241">
        <f t="shared" si="39"/>
        <v>0</v>
      </c>
    </row>
    <row r="201" spans="1:20" x14ac:dyDescent="0.3">
      <c r="A201" s="2"/>
      <c r="B201" s="2"/>
      <c r="C201" s="57" t="s">
        <v>322</v>
      </c>
      <c r="D201" s="18"/>
      <c r="E201" s="228"/>
      <c r="I201" s="154">
        <f>I198+I181+I178+I173+I158+I152+I145+I141+I136+I128+I123+I102+I97</f>
        <v>925869763.54999995</v>
      </c>
      <c r="J201" s="21">
        <f t="shared" ref="J201:M201" si="47">J198+J181+J178+J173+J158+J152+J145+J141+J136+J128+J123+J102+J97</f>
        <v>0</v>
      </c>
      <c r="K201" s="21">
        <f t="shared" si="47"/>
        <v>0</v>
      </c>
      <c r="L201" s="21">
        <f t="shared" si="47"/>
        <v>675692620.69000006</v>
      </c>
      <c r="M201" s="21">
        <f t="shared" si="47"/>
        <v>853039314.76916647</v>
      </c>
      <c r="N201" s="21">
        <f>N198+N181+N178+N173+N158+N152+N145+N141+N136+N128+N123+N102+N97</f>
        <v>1528731935.4591665</v>
      </c>
      <c r="O201" s="241">
        <f t="shared" si="39"/>
        <v>925869763.54999995</v>
      </c>
      <c r="P201" s="239">
        <f>N201-[15]FC1DIS!$H$184</f>
        <v>1089878432.7191665</v>
      </c>
      <c r="Q201" s="239">
        <f>N201-[16]FC1DIS!$J$189</f>
        <v>213134832.50916648</v>
      </c>
      <c r="T201" s="239">
        <f>N201-[14]FC1DIS!$J$188</f>
        <v>1099258264.1691666</v>
      </c>
    </row>
    <row r="202" spans="1:20" x14ac:dyDescent="0.3">
      <c r="A202" s="2"/>
      <c r="B202" s="2"/>
      <c r="C202" s="2"/>
      <c r="D202" s="18"/>
      <c r="E202" s="228"/>
      <c r="O202" s="241">
        <f t="shared" si="39"/>
        <v>0</v>
      </c>
    </row>
    <row r="203" spans="1:20" x14ac:dyDescent="0.3">
      <c r="A203" s="2"/>
      <c r="B203" s="2"/>
      <c r="C203" s="2" t="s">
        <v>323</v>
      </c>
      <c r="D203" s="18"/>
      <c r="E203" s="228"/>
      <c r="I203" s="230"/>
      <c r="N203" s="84"/>
      <c r="O203" s="241"/>
    </row>
    <row r="204" spans="1:20" hidden="1" x14ac:dyDescent="0.3">
      <c r="A204" s="2"/>
      <c r="B204" s="2"/>
      <c r="C204" s="2"/>
      <c r="D204" s="18" t="s">
        <v>541</v>
      </c>
      <c r="E204" s="228"/>
      <c r="G204" s="469">
        <v>5030104000</v>
      </c>
      <c r="I204" s="6">
        <f>VLOOKUP($G204,'FC1-Pre TB 2024'!$C$10:$F$276,4,FALSE)</f>
        <v>0</v>
      </c>
      <c r="L204" s="346">
        <f>VLOOKUP($G204,'Restated FC1-Pre TB 2023'!$C$10:$D$271,2,FALSE)</f>
        <v>0</v>
      </c>
      <c r="M204" s="410">
        <f t="shared" ref="M204" si="48">N204-L204</f>
        <v>0</v>
      </c>
      <c r="N204" s="37">
        <f>VLOOKUP($G204,'Restated FC1-Pre TB 2023'!$C$10:$H$271,6,FALSE)</f>
        <v>0</v>
      </c>
      <c r="O204" s="241">
        <f t="shared" si="39"/>
        <v>0</v>
      </c>
    </row>
    <row r="205" spans="1:20" x14ac:dyDescent="0.3">
      <c r="A205" s="2"/>
      <c r="B205" s="2"/>
      <c r="C205" s="2"/>
      <c r="D205" s="18" t="s">
        <v>547</v>
      </c>
      <c r="E205" s="228"/>
      <c r="G205" s="469">
        <v>5030199000</v>
      </c>
      <c r="I205" s="6">
        <f>VLOOKUP(G205,'tb control'!C10:D275,2,FALSE)</f>
        <v>200</v>
      </c>
      <c r="L205" s="346">
        <v>0</v>
      </c>
      <c r="M205" s="410">
        <v>0</v>
      </c>
      <c r="N205" s="37">
        <v>0</v>
      </c>
      <c r="O205" s="241"/>
    </row>
    <row r="206" spans="1:20" x14ac:dyDescent="0.3">
      <c r="A206" s="2"/>
      <c r="B206" s="2"/>
      <c r="C206" s="18" t="s">
        <v>324</v>
      </c>
      <c r="E206" s="228"/>
      <c r="I206" s="479">
        <f>SUM(I204:I205)</f>
        <v>200</v>
      </c>
      <c r="J206" s="3">
        <f t="shared" ref="J206:N206" si="49">SUM(J204:J205)</f>
        <v>0</v>
      </c>
      <c r="K206" s="3">
        <f t="shared" si="49"/>
        <v>0</v>
      </c>
      <c r="L206" s="3">
        <f t="shared" si="49"/>
        <v>0</v>
      </c>
      <c r="M206" s="3">
        <f t="shared" si="49"/>
        <v>0</v>
      </c>
      <c r="N206" s="3">
        <f t="shared" si="49"/>
        <v>0</v>
      </c>
      <c r="O206" s="241">
        <f t="shared" si="39"/>
        <v>200</v>
      </c>
      <c r="T206" s="239">
        <f>-[14]FC1DIS!$J$192</f>
        <v>0</v>
      </c>
    </row>
    <row r="207" spans="1:20" x14ac:dyDescent="0.3">
      <c r="A207" s="2"/>
      <c r="B207" s="2"/>
      <c r="C207" s="2"/>
      <c r="D207" s="18"/>
      <c r="E207" s="228"/>
      <c r="I207" s="230"/>
      <c r="N207" s="84"/>
      <c r="O207" s="241">
        <f t="shared" si="39"/>
        <v>0</v>
      </c>
    </row>
    <row r="208" spans="1:20" x14ac:dyDescent="0.3">
      <c r="A208" s="2"/>
      <c r="B208" s="2"/>
      <c r="C208" s="2" t="s">
        <v>257</v>
      </c>
      <c r="D208" s="18"/>
      <c r="E208" s="228"/>
      <c r="F208" s="326">
        <v>19</v>
      </c>
      <c r="O208" s="241"/>
    </row>
    <row r="209" spans="1:21" x14ac:dyDescent="0.3">
      <c r="A209" s="2"/>
      <c r="B209" s="2"/>
      <c r="C209" s="2" t="s">
        <v>261</v>
      </c>
      <c r="D209" s="2"/>
      <c r="E209" s="228"/>
      <c r="F209" s="312">
        <v>19.100000000000001</v>
      </c>
      <c r="O209" s="241"/>
    </row>
    <row r="210" spans="1:21" x14ac:dyDescent="0.3">
      <c r="A210" s="2"/>
      <c r="B210" s="2"/>
      <c r="C210" s="2"/>
      <c r="D210" s="2"/>
      <c r="E210" s="228"/>
      <c r="L210" s="346"/>
      <c r="M210" s="410"/>
      <c r="O210" s="241"/>
    </row>
    <row r="211" spans="1:21" x14ac:dyDescent="0.3">
      <c r="A211" s="2"/>
      <c r="B211" s="2"/>
      <c r="C211" s="2"/>
      <c r="D211" s="18" t="s">
        <v>72</v>
      </c>
      <c r="E211" s="228"/>
      <c r="G211" s="469">
        <v>5050104001</v>
      </c>
      <c r="I211" s="6">
        <f>VLOOKUP($G211,'FC1-Pre TB 2024'!$C$10:$F$276,4,FALSE)</f>
        <v>4064499.79</v>
      </c>
      <c r="L211" s="346">
        <f>VLOOKUP($G211,'Restated FC1-Pre TB 2023'!$C$10:$D$271,2,FALSE)</f>
        <v>3815094.78</v>
      </c>
      <c r="M211" s="410">
        <f t="shared" ref="M211:M226" si="50">N211-L211</f>
        <v>4077156.9899999998</v>
      </c>
      <c r="N211" s="37">
        <f>VLOOKUP($G211,'Restated FC1-Pre TB 2023'!$C$10:$H$271,6,FALSE)</f>
        <v>7892251.7699999996</v>
      </c>
      <c r="O211" s="241">
        <f t="shared" si="39"/>
        <v>4064499.79</v>
      </c>
      <c r="R211" s="239">
        <f>I211+I212</f>
        <v>5553165.3300000001</v>
      </c>
    </row>
    <row r="212" spans="1:21" s="2" customFormat="1" x14ac:dyDescent="0.3">
      <c r="D212" s="18" t="s">
        <v>171</v>
      </c>
      <c r="E212" s="228"/>
      <c r="F212" s="312"/>
      <c r="G212" s="469">
        <v>5050104099</v>
      </c>
      <c r="H212" s="470"/>
      <c r="I212" s="6">
        <f>VLOOKUP($G212,'FC1-Pre TB 2024'!$C$10:$F$276,4,FALSE)</f>
        <v>1488665.54</v>
      </c>
      <c r="K212" s="15"/>
      <c r="L212" s="346">
        <f>VLOOKUP($G212,'Restated FC1-Pre TB 2023'!$C$10:$D$271,2,FALSE)</f>
        <v>976015.31</v>
      </c>
      <c r="M212" s="410">
        <f t="shared" si="50"/>
        <v>234887.5</v>
      </c>
      <c r="N212" s="37">
        <f>VLOOKUP($G212,'Restated FC1-Pre TB 2023'!$C$10:$H$271,6,FALSE)</f>
        <v>1210902.81</v>
      </c>
      <c r="O212" s="241">
        <f t="shared" si="39"/>
        <v>1488665.54</v>
      </c>
      <c r="P212" s="37"/>
      <c r="Q212" s="37"/>
      <c r="R212" s="37"/>
      <c r="T212" s="37"/>
      <c r="U212" s="37"/>
    </row>
    <row r="213" spans="1:21" s="2" customFormat="1" x14ac:dyDescent="0.3">
      <c r="D213" s="18" t="s">
        <v>74</v>
      </c>
      <c r="E213" s="228"/>
      <c r="F213" s="312"/>
      <c r="G213" s="469">
        <v>5050107001</v>
      </c>
      <c r="H213" s="470"/>
      <c r="I213" s="6">
        <f>VLOOKUP($G213,'FC1-Pre TB 2024'!$C$10:$F$276,4,FALSE)</f>
        <v>43876.47</v>
      </c>
      <c r="K213" s="15"/>
      <c r="L213" s="346">
        <f>VLOOKUP($G213,'Restated FC1-Pre TB 2023'!$C$10:$D$271,2,FALSE)</f>
        <v>30951.95</v>
      </c>
      <c r="M213" s="410">
        <f t="shared" si="50"/>
        <v>0</v>
      </c>
      <c r="N213" s="37">
        <f>VLOOKUP($G213,'Restated FC1-Pre TB 2023'!$C$10:$H$271,6,FALSE)</f>
        <v>30951.95</v>
      </c>
      <c r="O213" s="241">
        <f t="shared" si="39"/>
        <v>43876.47</v>
      </c>
      <c r="P213" s="37"/>
      <c r="Q213" s="37"/>
      <c r="R213" s="37"/>
      <c r="T213" s="37"/>
      <c r="U213" s="37"/>
    </row>
    <row r="214" spans="1:21" s="2" customFormat="1" hidden="1" x14ac:dyDescent="0.3">
      <c r="D214" s="18" t="s">
        <v>172</v>
      </c>
      <c r="E214" s="228"/>
      <c r="F214" s="312"/>
      <c r="G214" s="469">
        <v>5050107002</v>
      </c>
      <c r="H214" s="470"/>
      <c r="I214" s="6">
        <f>VLOOKUP($G214,'FC1-Pre TB 2024'!$C$10:$F$276,4,FALSE)</f>
        <v>0</v>
      </c>
      <c r="K214" s="15"/>
      <c r="L214" s="346">
        <f>VLOOKUP($G214,'Restated FC1-Pre TB 2023'!$C$10:$D$271,2,FALSE)</f>
        <v>0</v>
      </c>
      <c r="M214" s="410">
        <f t="shared" si="50"/>
        <v>0</v>
      </c>
      <c r="N214" s="37">
        <f>VLOOKUP($G214,'Restated FC1-Pre TB 2023'!$C$10:$H$271,6,FALSE)</f>
        <v>0</v>
      </c>
      <c r="O214" s="241">
        <f t="shared" si="39"/>
        <v>0</v>
      </c>
      <c r="P214" s="37"/>
      <c r="Q214" s="37"/>
      <c r="R214" s="37"/>
      <c r="T214" s="37"/>
      <c r="U214" s="37"/>
    </row>
    <row r="215" spans="1:21" x14ac:dyDescent="0.3">
      <c r="A215" s="2"/>
      <c r="B215" s="2"/>
      <c r="C215" s="2"/>
      <c r="D215" s="18" t="s">
        <v>73</v>
      </c>
      <c r="E215" s="228"/>
      <c r="G215" s="469">
        <v>5050105002</v>
      </c>
      <c r="I215" s="6">
        <f>VLOOKUP($G215,'FC1-Pre TB 2024'!$C$10:$F$276,4,FALSE)</f>
        <v>849319.68</v>
      </c>
      <c r="L215" s="346">
        <f>VLOOKUP($G215,'Restated FC1-Pre TB 2023'!$C$10:$D$271,2,FALSE)</f>
        <v>951104.81</v>
      </c>
      <c r="M215" s="410">
        <f t="shared" si="50"/>
        <v>0</v>
      </c>
      <c r="N215" s="37">
        <f>VLOOKUP($G215,'Restated FC1-Pre TB 2023'!$C$10:$H$271,6,FALSE)</f>
        <v>951104.81</v>
      </c>
      <c r="O215" s="241">
        <f t="shared" si="39"/>
        <v>849319.68</v>
      </c>
      <c r="S215" s="239"/>
    </row>
    <row r="216" spans="1:21" x14ac:dyDescent="0.3">
      <c r="A216" s="2"/>
      <c r="B216" s="2"/>
      <c r="C216" s="2"/>
      <c r="D216" s="18" t="s">
        <v>75</v>
      </c>
      <c r="E216" s="228"/>
      <c r="G216" s="469">
        <v>5050105003</v>
      </c>
      <c r="I216" s="6">
        <f>VLOOKUP($G216,'FC1-Pre TB 2024'!$C$10:$F$276,4,FALSE)</f>
        <v>7474808.1299999999</v>
      </c>
      <c r="L216" s="346">
        <f>VLOOKUP($G216,'Restated FC1-Pre TB 2023'!$C$10:$D$271,2,FALSE)</f>
        <v>3993983.54</v>
      </c>
      <c r="M216" s="410">
        <f t="shared" si="50"/>
        <v>142445</v>
      </c>
      <c r="N216" s="37">
        <f>VLOOKUP($G216,'Restated FC1-Pre TB 2023'!$C$10:$H$271,6,FALSE)</f>
        <v>4136428.54</v>
      </c>
      <c r="O216" s="241">
        <f t="shared" si="39"/>
        <v>7474808.1299999999</v>
      </c>
      <c r="S216" s="239"/>
    </row>
    <row r="217" spans="1:21" x14ac:dyDescent="0.3">
      <c r="A217" s="2"/>
      <c r="B217" s="2"/>
      <c r="C217" s="2"/>
      <c r="D217" s="18" t="s">
        <v>76</v>
      </c>
      <c r="E217" s="228"/>
      <c r="G217" s="469">
        <v>5050105007</v>
      </c>
      <c r="I217" s="6">
        <f>VLOOKUP($G217,'FC1-Pre TB 2024'!$C$10:$F$276,4,FALSE)</f>
        <v>1488508.05</v>
      </c>
      <c r="L217" s="346">
        <f>VLOOKUP($G217,'Restated FC1-Pre TB 2023'!$C$10:$D$271,2,FALSE)</f>
        <v>575464.92000000004</v>
      </c>
      <c r="M217" s="410">
        <f t="shared" si="50"/>
        <v>0</v>
      </c>
      <c r="N217" s="37">
        <f>VLOOKUP($G217,'Restated FC1-Pre TB 2023'!$C$10:$H$271,6,FALSE)</f>
        <v>575464.92000000004</v>
      </c>
      <c r="O217" s="241">
        <f t="shared" si="39"/>
        <v>1488508.05</v>
      </c>
    </row>
    <row r="218" spans="1:21" hidden="1" x14ac:dyDescent="0.3">
      <c r="A218" s="2"/>
      <c r="B218" s="2"/>
      <c r="C218" s="2"/>
      <c r="D218" s="18" t="s">
        <v>173</v>
      </c>
      <c r="E218" s="228"/>
      <c r="G218" s="469">
        <v>5050105009</v>
      </c>
      <c r="I218" s="6">
        <f>VLOOKUP($G218,'FC1-Pre TB 2024'!$C$10:$F$276,4,FALSE)</f>
        <v>0</v>
      </c>
      <c r="L218" s="346">
        <f>VLOOKUP($G218,'Restated FC1-Pre TB 2023'!$C$10:$D$271,2,FALSE)</f>
        <v>0</v>
      </c>
      <c r="M218" s="410">
        <f t="shared" si="50"/>
        <v>0</v>
      </c>
      <c r="N218" s="37">
        <f>VLOOKUP($G218,'Restated FC1-Pre TB 2023'!$C$10:$H$271,6,FALSE)</f>
        <v>0</v>
      </c>
      <c r="O218" s="241">
        <f t="shared" si="39"/>
        <v>0</v>
      </c>
    </row>
    <row r="219" spans="1:21" hidden="1" x14ac:dyDescent="0.3">
      <c r="A219" s="2"/>
      <c r="B219" s="2"/>
      <c r="C219" s="2"/>
      <c r="D219" s="18" t="s">
        <v>174</v>
      </c>
      <c r="E219" s="228"/>
      <c r="G219" s="469">
        <v>5050105011</v>
      </c>
      <c r="I219" s="6">
        <f>VLOOKUP($G219,'FC1-Pre TB 2024'!$C$10:$F$276,4,FALSE)</f>
        <v>0</v>
      </c>
      <c r="L219" s="346">
        <f>VLOOKUP($G219,'Restated FC1-Pre TB 2023'!$C$10:$D$271,2,FALSE)</f>
        <v>0</v>
      </c>
      <c r="M219" s="410">
        <f t="shared" si="50"/>
        <v>0</v>
      </c>
      <c r="N219" s="37">
        <f>VLOOKUP($G219,'Restated FC1-Pre TB 2023'!$C$10:$H$271,6,FALSE)</f>
        <v>0</v>
      </c>
      <c r="O219" s="241">
        <f t="shared" si="39"/>
        <v>0</v>
      </c>
    </row>
    <row r="220" spans="1:21" x14ac:dyDescent="0.3">
      <c r="A220" s="2"/>
      <c r="B220" s="2"/>
      <c r="C220" s="2"/>
      <c r="D220" s="18" t="s">
        <v>77</v>
      </c>
      <c r="E220" s="228"/>
      <c r="G220" s="469">
        <v>5050105013</v>
      </c>
      <c r="I220" s="6">
        <f>VLOOKUP($G220,'FC1-Pre TB 2024'!$C$10:$F$276,4,FALSE)</f>
        <v>0</v>
      </c>
      <c r="L220" s="346">
        <f>VLOOKUP($G220,'Restated FC1-Pre TB 2023'!$C$10:$D$271,2,FALSE)</f>
        <v>42194.92</v>
      </c>
      <c r="M220" s="410">
        <f t="shared" si="50"/>
        <v>0</v>
      </c>
      <c r="N220" s="37">
        <f>VLOOKUP($G220,'Restated FC1-Pre TB 2023'!$C$10:$H$271,6,FALSE)</f>
        <v>42194.92</v>
      </c>
      <c r="O220" s="241">
        <f t="shared" si="39"/>
        <v>0</v>
      </c>
      <c r="S220" s="239"/>
    </row>
    <row r="221" spans="1:21" x14ac:dyDescent="0.3">
      <c r="A221" s="2"/>
      <c r="B221" s="2"/>
      <c r="C221" s="2"/>
      <c r="D221" s="18" t="s">
        <v>267</v>
      </c>
      <c r="E221" s="228"/>
      <c r="G221" s="469">
        <v>5050105014</v>
      </c>
      <c r="I221" s="6">
        <f>VLOOKUP($G221,'FC1-Pre TB 2024'!$C$10:$F$276,4,FALSE)</f>
        <v>21813.16</v>
      </c>
      <c r="L221" s="346">
        <f>VLOOKUP($G221,'Restated FC1-Pre TB 2023'!$C$10:$D$271,2,FALSE)</f>
        <v>25350.41</v>
      </c>
      <c r="M221" s="410">
        <f t="shared" si="50"/>
        <v>0</v>
      </c>
      <c r="N221" s="37">
        <f>VLOOKUP($G221,'Restated FC1-Pre TB 2023'!$C$10:$H$271,6,FALSE)</f>
        <v>25350.41</v>
      </c>
      <c r="O221" s="241">
        <f t="shared" si="39"/>
        <v>21813.16</v>
      </c>
    </row>
    <row r="222" spans="1:21" x14ac:dyDescent="0.3">
      <c r="A222" s="2"/>
      <c r="B222" s="2"/>
      <c r="C222" s="2"/>
      <c r="D222" s="18" t="s">
        <v>542</v>
      </c>
      <c r="E222" s="228"/>
      <c r="G222" s="469">
        <v>5050105099</v>
      </c>
      <c r="I222" s="6">
        <f>VLOOKUP($G222,'FC1-Pre TB 2024'!$C$10:$F$276,4,FALSE)</f>
        <v>250698.12</v>
      </c>
      <c r="L222" s="346">
        <f>VLOOKUP($G222,'Restated FC1-Pre TB 2023'!$C$10:$D$271,2,FALSE)</f>
        <v>250698.12</v>
      </c>
      <c r="M222" s="410">
        <f t="shared" si="50"/>
        <v>0</v>
      </c>
      <c r="N222" s="37">
        <f>VLOOKUP($G222,'Restated FC1-Pre TB 2023'!$C$10:$H$271,6,FALSE)</f>
        <v>250698.12</v>
      </c>
      <c r="O222" s="241">
        <f t="shared" si="39"/>
        <v>250698.12</v>
      </c>
    </row>
    <row r="223" spans="1:21" x14ac:dyDescent="0.3">
      <c r="A223" s="2"/>
      <c r="B223" s="2"/>
      <c r="C223" s="2"/>
      <c r="D223" s="18" t="s">
        <v>78</v>
      </c>
      <c r="E223" s="228"/>
      <c r="G223" s="469">
        <v>5050106001</v>
      </c>
      <c r="I223" s="6">
        <f>VLOOKUP($G223,'FC1-Pre TB 2024'!$C$10:$F$276,4,FALSE)</f>
        <v>3270236.15</v>
      </c>
      <c r="L223" s="346">
        <f>VLOOKUP($G223,'Restated FC1-Pre TB 2023'!$C$10:$D$271,2,FALSE)</f>
        <v>3008333.89</v>
      </c>
      <c r="M223" s="410">
        <f t="shared" si="50"/>
        <v>0</v>
      </c>
      <c r="N223" s="37">
        <f>VLOOKUP($G223,'Restated FC1-Pre TB 2023'!$C$10:$H$271,6,FALSE)</f>
        <v>3008333.89</v>
      </c>
      <c r="O223" s="241">
        <f t="shared" si="39"/>
        <v>3270236.15</v>
      </c>
      <c r="R223" s="239">
        <f>2602368.3+2480568.33</f>
        <v>5082936.63</v>
      </c>
      <c r="S223" s="239"/>
    </row>
    <row r="224" spans="1:21" hidden="1" x14ac:dyDescent="0.3">
      <c r="A224" s="2"/>
      <c r="B224" s="2"/>
      <c r="C224" s="2"/>
      <c r="D224" s="18" t="s">
        <v>79</v>
      </c>
      <c r="E224" s="228"/>
      <c r="F224" s="328"/>
      <c r="G224" s="469">
        <v>5050199099</v>
      </c>
      <c r="I224" s="6">
        <f>VLOOKUP($G224,'FC1-Pre TB 2024'!$C$10:$F$276,4,FALSE)</f>
        <v>0</v>
      </c>
      <c r="L224" s="346">
        <f>VLOOKUP($G224,'Restated FC1-Pre TB 2023'!$C$10:$D$271,2,FALSE)</f>
        <v>0</v>
      </c>
      <c r="M224" s="410">
        <f t="shared" si="50"/>
        <v>0</v>
      </c>
      <c r="N224" s="37">
        <f>VLOOKUP($G224,'Restated FC1-Pre TB 2023'!$C$10:$H$271,6,FALSE)</f>
        <v>0</v>
      </c>
      <c r="O224" s="241">
        <f t="shared" ref="O224:O283" si="51">I224</f>
        <v>0</v>
      </c>
    </row>
    <row r="225" spans="1:23" x14ac:dyDescent="0.3">
      <c r="A225" s="2"/>
      <c r="B225" s="2"/>
      <c r="C225" s="2"/>
      <c r="D225" s="18" t="s">
        <v>386</v>
      </c>
      <c r="E225" s="228"/>
      <c r="G225" s="469">
        <v>5050102099</v>
      </c>
      <c r="I225" s="6">
        <f>VLOOKUP($G225,'FC1-Pre TB 2024'!$C$10:$F$276,4,FALSE)</f>
        <v>33202.5</v>
      </c>
      <c r="L225" s="346">
        <f>VLOOKUP($G225,'Restated FC1-Pre TB 2023'!$C$10:$D$271,2,FALSE)</f>
        <v>244793.05</v>
      </c>
      <c r="M225" s="410">
        <f t="shared" si="50"/>
        <v>0</v>
      </c>
      <c r="N225" s="37">
        <f>VLOOKUP($G225,'Restated FC1-Pre TB 2023'!$C$10:$H$271,6,FALSE)</f>
        <v>244793.05</v>
      </c>
      <c r="O225" s="241">
        <f t="shared" si="51"/>
        <v>33202.5</v>
      </c>
      <c r="P225" s="245" t="s">
        <v>505</v>
      </c>
      <c r="R225" s="239">
        <f>R223-I223</f>
        <v>1812700.48</v>
      </c>
      <c r="S225" s="239"/>
      <c r="W225" s="238" t="s">
        <v>504</v>
      </c>
    </row>
    <row r="226" spans="1:23" ht="17.25" customHeight="1" x14ac:dyDescent="0.3">
      <c r="A226" s="2"/>
      <c r="B226" s="2"/>
      <c r="C226" s="2"/>
      <c r="D226" s="18" t="s">
        <v>419</v>
      </c>
      <c r="E226" s="228"/>
      <c r="G226" s="469">
        <v>5050108002</v>
      </c>
      <c r="I226" s="6">
        <f>VLOOKUP($G226,'FC1-Pre TB 2024'!$C$10:$F$276,4,FALSE)</f>
        <v>12255</v>
      </c>
      <c r="K226" s="22"/>
      <c r="L226" s="346">
        <f>VLOOKUP($G226,'Restated FC1-Pre TB 2023'!$C$10:$D$271,2,FALSE)</f>
        <v>30637.5</v>
      </c>
      <c r="M226" s="411">
        <f t="shared" si="50"/>
        <v>0</v>
      </c>
      <c r="N226" s="68">
        <f>VLOOKUP($G226,'Restated FC1-Pre TB 2023'!$C$10:$H$271,6,FALSE)</f>
        <v>30637.5</v>
      </c>
      <c r="O226" s="241">
        <f t="shared" si="51"/>
        <v>12255</v>
      </c>
    </row>
    <row r="227" spans="1:23" ht="17.25" hidden="1" customHeight="1" x14ac:dyDescent="0.3">
      <c r="A227" s="2"/>
      <c r="B227" s="2"/>
      <c r="C227" s="2"/>
      <c r="D227" s="18"/>
      <c r="E227" s="228"/>
      <c r="K227" s="22"/>
      <c r="L227" s="346"/>
      <c r="M227" s="506"/>
      <c r="N227" s="261"/>
      <c r="O227" s="241"/>
    </row>
    <row r="228" spans="1:23" ht="17.25" customHeight="1" x14ac:dyDescent="0.3">
      <c r="A228" s="2"/>
      <c r="B228" s="2"/>
      <c r="C228" s="2" t="s">
        <v>518</v>
      </c>
      <c r="D228" s="18"/>
      <c r="E228" s="228"/>
      <c r="I228" s="480">
        <f>SUM(I210:I226)</f>
        <v>18997882.59</v>
      </c>
      <c r="J228" s="337">
        <f t="shared" ref="J228:M228" si="52">SUM(J210:J226)</f>
        <v>0</v>
      </c>
      <c r="K228" s="337">
        <f t="shared" si="52"/>
        <v>0</v>
      </c>
      <c r="L228" s="337">
        <f t="shared" si="52"/>
        <v>13944623.200000001</v>
      </c>
      <c r="M228" s="4">
        <f t="shared" si="52"/>
        <v>4454489.49</v>
      </c>
      <c r="N228" s="4">
        <f t="shared" ref="N228" si="53">SUM(N210:N226)</f>
        <v>18399112.689999998</v>
      </c>
      <c r="O228" s="4">
        <f t="shared" ref="O228" si="54">SUM(O210:O226)</f>
        <v>18997882.59</v>
      </c>
      <c r="P228" s="4">
        <f t="shared" ref="P228" si="55">SUM(P210:P226)</f>
        <v>0</v>
      </c>
      <c r="Q228" s="4">
        <f t="shared" ref="Q228" si="56">SUM(Q210:Q226)</f>
        <v>0</v>
      </c>
      <c r="R228" s="4">
        <f t="shared" ref="R228" si="57">SUM(R210:R226)</f>
        <v>12448802.440000001</v>
      </c>
      <c r="S228" s="4">
        <f t="shared" ref="S228" si="58">SUM(S210:S226)</f>
        <v>0</v>
      </c>
      <c r="T228" s="4">
        <f t="shared" ref="T228" si="59">SUM(T210:T226)</f>
        <v>0</v>
      </c>
      <c r="U228" s="4">
        <f t="shared" ref="U228" si="60">SUM(U210:U226)</f>
        <v>0</v>
      </c>
    </row>
    <row r="229" spans="1:23" ht="17.25" customHeight="1" x14ac:dyDescent="0.3">
      <c r="A229" s="2"/>
      <c r="B229" s="2"/>
      <c r="C229" s="2"/>
      <c r="D229" s="18"/>
      <c r="E229" s="228"/>
      <c r="I229" s="230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spans="1:23" ht="17.25" customHeight="1" x14ac:dyDescent="0.3">
      <c r="A230" s="2"/>
      <c r="B230" s="2"/>
      <c r="C230" s="2" t="s">
        <v>558</v>
      </c>
      <c r="D230" s="18"/>
      <c r="E230" s="228"/>
      <c r="F230" s="312">
        <v>19.2</v>
      </c>
      <c r="I230" s="230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spans="1:23" ht="17.25" customHeight="1" x14ac:dyDescent="0.3">
      <c r="A231" s="2"/>
      <c r="B231" s="2"/>
      <c r="C231" s="2"/>
      <c r="D231" s="2" t="s">
        <v>361</v>
      </c>
      <c r="E231" s="228"/>
      <c r="G231" s="469">
        <v>5050201002</v>
      </c>
      <c r="I231" s="471">
        <f>VLOOKUP($G231,'FC1-Pre TB 2024'!$C$10:$F$276,4,FALSE)</f>
        <v>94757.759999999995</v>
      </c>
      <c r="J231" s="5"/>
      <c r="K231" s="345"/>
      <c r="L231" s="347">
        <f>VLOOKUP($G231,'Restated FC1-Pre TB 2023'!$C$10:$D$271,2,FALSE)</f>
        <v>0</v>
      </c>
      <c r="M231" s="411">
        <f t="shared" ref="M231" si="61">N231-L231</f>
        <v>0</v>
      </c>
      <c r="N231" s="68">
        <f>VLOOKUP($G231,'Restated FC1-Pre TB 2023'!$C$10:$H$271,6,FALSE)</f>
        <v>0</v>
      </c>
      <c r="O231" s="4"/>
      <c r="P231" s="4"/>
      <c r="Q231" s="4"/>
      <c r="R231" s="4"/>
      <c r="S231" s="4"/>
      <c r="T231" s="4"/>
      <c r="U231" s="4"/>
    </row>
    <row r="232" spans="1:23" ht="17.25" customHeight="1" x14ac:dyDescent="0.3">
      <c r="A232" s="2"/>
      <c r="B232" s="2"/>
      <c r="C232" s="2" t="s">
        <v>561</v>
      </c>
      <c r="D232" s="18"/>
      <c r="E232" s="228"/>
      <c r="I232" s="230">
        <f>SUM(I231)</f>
        <v>94757.759999999995</v>
      </c>
      <c r="J232" s="230">
        <f t="shared" ref="J232:N232" si="62">SUM(J231)</f>
        <v>0</v>
      </c>
      <c r="K232" s="230">
        <f t="shared" si="62"/>
        <v>0</v>
      </c>
      <c r="L232" s="230">
        <f t="shared" si="62"/>
        <v>0</v>
      </c>
      <c r="M232" s="230">
        <f t="shared" si="62"/>
        <v>0</v>
      </c>
      <c r="N232" s="230">
        <f t="shared" si="62"/>
        <v>0</v>
      </c>
      <c r="O232" s="241"/>
    </row>
    <row r="233" spans="1:23" x14ac:dyDescent="0.3">
      <c r="A233" s="2"/>
      <c r="B233" s="2"/>
      <c r="C233" s="2" t="s">
        <v>260</v>
      </c>
      <c r="D233" s="18"/>
      <c r="E233" s="228"/>
      <c r="I233" s="155"/>
      <c r="J233" s="155"/>
      <c r="K233" s="155"/>
      <c r="L233" s="155"/>
      <c r="M233" s="155"/>
      <c r="N233" s="155"/>
      <c r="O233" s="241">
        <f t="shared" si="51"/>
        <v>0</v>
      </c>
      <c r="T233" s="239">
        <f>N233-[14]FC1DIS!$J$213</f>
        <v>-12922443.93</v>
      </c>
    </row>
    <row r="234" spans="1:23" hidden="1" x14ac:dyDescent="0.3">
      <c r="A234" s="238"/>
      <c r="B234" s="2"/>
      <c r="C234" s="2"/>
      <c r="D234" s="18"/>
      <c r="E234" s="228"/>
      <c r="I234" s="230"/>
      <c r="O234" s="241"/>
    </row>
    <row r="235" spans="1:23" hidden="1" x14ac:dyDescent="0.3">
      <c r="A235" s="2"/>
      <c r="B235" s="2"/>
      <c r="C235" s="2"/>
      <c r="D235" s="18" t="s">
        <v>176</v>
      </c>
      <c r="E235" s="228"/>
      <c r="G235" s="469">
        <v>5050409000</v>
      </c>
      <c r="I235" s="230">
        <f>VLOOKUP($G235,'FC1-Pre TB 2024'!$C$10:$F$276,4,FALSE)</f>
        <v>0</v>
      </c>
      <c r="L235" s="346">
        <f>VLOOKUP($G235,'Restated FC1-Pre TB 2023'!$C$10:$D$271,2,FALSE)</f>
        <v>0</v>
      </c>
      <c r="M235" s="410">
        <f t="shared" ref="M235:M236" si="63">N235-L235</f>
        <v>0</v>
      </c>
      <c r="N235" s="37">
        <f>VLOOKUP($G235,'Restated FC1-Pre TB 2023'!$C$10:$H$271,6,FALSE)</f>
        <v>0</v>
      </c>
      <c r="O235" s="241">
        <f t="shared" si="51"/>
        <v>0</v>
      </c>
    </row>
    <row r="236" spans="1:23" hidden="1" x14ac:dyDescent="0.3">
      <c r="A236" s="2"/>
      <c r="B236" s="2"/>
      <c r="C236" s="2"/>
      <c r="D236" s="18" t="s">
        <v>177</v>
      </c>
      <c r="E236" s="228"/>
      <c r="G236" s="469">
        <v>5050499000</v>
      </c>
      <c r="I236" s="230">
        <f>VLOOKUP($G236,'FC1-Pre TB 2024'!$C$10:$F$276,4,FALSE)</f>
        <v>0</v>
      </c>
      <c r="L236" s="346">
        <f>VLOOKUP($G236,'Restated FC1-Pre TB 2023'!$C$10:$D$271,2,FALSE)</f>
        <v>0</v>
      </c>
      <c r="M236" s="410">
        <f t="shared" si="63"/>
        <v>0</v>
      </c>
      <c r="N236" s="37">
        <f>VLOOKUP($G236,'Restated FC1-Pre TB 2023'!$C$10:$H$271,6,FALSE)</f>
        <v>0</v>
      </c>
      <c r="O236" s="241">
        <f t="shared" si="51"/>
        <v>0</v>
      </c>
    </row>
    <row r="237" spans="1:23" ht="15.75" hidden="1" customHeight="1" x14ac:dyDescent="0.3">
      <c r="A237" s="2"/>
      <c r="B237" s="2"/>
      <c r="C237" s="2" t="s">
        <v>464</v>
      </c>
      <c r="D237" s="18"/>
      <c r="E237" s="228"/>
      <c r="I237" s="338">
        <f>SUM(I235:I236)</f>
        <v>0</v>
      </c>
      <c r="J237" s="338">
        <f t="shared" ref="J237:N237" si="64">SUM(J235:J236)</f>
        <v>0</v>
      </c>
      <c r="K237" s="338">
        <f t="shared" si="64"/>
        <v>0</v>
      </c>
      <c r="L237" s="338">
        <f t="shared" si="64"/>
        <v>0</v>
      </c>
      <c r="M237" s="338">
        <f t="shared" si="64"/>
        <v>0</v>
      </c>
      <c r="N237" s="338">
        <f t="shared" si="64"/>
        <v>0</v>
      </c>
      <c r="O237" s="241"/>
      <c r="P237" s="239">
        <f>I233+I237</f>
        <v>0</v>
      </c>
      <c r="U237" s="239">
        <f>I233+I237</f>
        <v>0</v>
      </c>
    </row>
    <row r="238" spans="1:23" ht="15.75" customHeight="1" x14ac:dyDescent="0.3">
      <c r="A238" s="2"/>
      <c r="B238" s="2"/>
      <c r="C238" s="2"/>
      <c r="D238" s="18"/>
      <c r="E238" s="228"/>
      <c r="I238" s="155"/>
      <c r="J238" s="155"/>
      <c r="K238" s="155"/>
      <c r="L238" s="155"/>
      <c r="M238" s="155"/>
      <c r="N238" s="155"/>
      <c r="O238" s="241"/>
    </row>
    <row r="239" spans="1:23" ht="15.75" customHeight="1" x14ac:dyDescent="0.3">
      <c r="A239" s="2"/>
      <c r="B239" s="2"/>
      <c r="C239" s="2" t="s">
        <v>557</v>
      </c>
      <c r="D239" s="18"/>
      <c r="E239" s="228"/>
      <c r="F239" s="312">
        <v>19.3</v>
      </c>
      <c r="I239" s="155"/>
      <c r="J239" s="155"/>
      <c r="K239" s="155"/>
      <c r="L239" s="155"/>
      <c r="M239" s="155"/>
      <c r="N239" s="155"/>
      <c r="O239" s="241"/>
    </row>
    <row r="240" spans="1:23" ht="15.75" customHeight="1" x14ac:dyDescent="0.3">
      <c r="A240" s="2"/>
      <c r="B240" s="2"/>
      <c r="C240" s="2"/>
      <c r="D240" s="18" t="s">
        <v>553</v>
      </c>
      <c r="E240" s="228"/>
      <c r="G240" s="469">
        <v>5050307000</v>
      </c>
      <c r="I240" s="230">
        <f>VLOOKUP($G240,'FC1-Pre TB 2024'!$C$10:$F$276,4,FALSE)</f>
        <v>571033.5</v>
      </c>
      <c r="J240" s="155"/>
      <c r="K240" s="155"/>
      <c r="L240" s="230">
        <v>0</v>
      </c>
      <c r="M240" s="230">
        <v>0</v>
      </c>
      <c r="N240" s="230">
        <v>0</v>
      </c>
      <c r="O240" s="241"/>
    </row>
    <row r="241" spans="1:21" ht="15.75" customHeight="1" x14ac:dyDescent="0.3">
      <c r="A241" s="2"/>
      <c r="B241" s="2"/>
      <c r="C241" s="2"/>
      <c r="D241" s="18" t="s">
        <v>554</v>
      </c>
      <c r="E241" s="228"/>
      <c r="G241" s="469">
        <v>5050309000</v>
      </c>
      <c r="I241" s="230">
        <f>VLOOKUP(G241,'FC1-Pre TB 2024'!C10:D276,2,FALSE)</f>
        <v>20463.669999999998</v>
      </c>
      <c r="J241" s="155"/>
      <c r="K241" s="155"/>
      <c r="L241" s="230">
        <v>0</v>
      </c>
      <c r="M241" s="230">
        <v>0</v>
      </c>
      <c r="N241" s="230">
        <v>0</v>
      </c>
      <c r="O241" s="241"/>
    </row>
    <row r="242" spans="1:21" ht="15.75" customHeight="1" x14ac:dyDescent="0.3">
      <c r="A242" s="2"/>
      <c r="B242" s="2"/>
      <c r="C242" s="2"/>
      <c r="D242" s="18"/>
      <c r="E242" s="228"/>
      <c r="I242" s="471"/>
      <c r="J242" s="154"/>
      <c r="K242" s="154"/>
      <c r="L242" s="347"/>
      <c r="M242" s="411"/>
      <c r="N242" s="68"/>
      <c r="O242" s="241"/>
    </row>
    <row r="243" spans="1:21" ht="15.75" customHeight="1" x14ac:dyDescent="0.3">
      <c r="A243" s="2"/>
      <c r="B243" s="2"/>
      <c r="C243" s="2" t="s">
        <v>559</v>
      </c>
      <c r="D243" s="18"/>
      <c r="E243" s="228"/>
      <c r="I243" s="230">
        <f>SUM(I240:K242)</f>
        <v>591497.17000000004</v>
      </c>
      <c r="J243" s="230">
        <f t="shared" ref="J243:N243" si="65">SUM(J240:L242)</f>
        <v>0</v>
      </c>
      <c r="K243" s="230">
        <f t="shared" si="65"/>
        <v>0</v>
      </c>
      <c r="L243" s="230">
        <f t="shared" si="65"/>
        <v>0</v>
      </c>
      <c r="M243" s="230">
        <f t="shared" si="65"/>
        <v>0</v>
      </c>
      <c r="N243" s="230">
        <f t="shared" si="65"/>
        <v>0</v>
      </c>
      <c r="O243" s="241"/>
    </row>
    <row r="244" spans="1:21" ht="15.75" hidden="1" customHeight="1" x14ac:dyDescent="0.3">
      <c r="A244" s="2"/>
      <c r="B244" s="2"/>
      <c r="C244" s="2"/>
      <c r="D244" s="18"/>
      <c r="E244" s="228"/>
      <c r="I244" s="230"/>
      <c r="J244" s="230"/>
      <c r="K244" s="230"/>
      <c r="L244" s="230"/>
      <c r="M244" s="230"/>
      <c r="N244" s="230"/>
      <c r="O244" s="241"/>
    </row>
    <row r="245" spans="1:21" ht="15.75" hidden="1" customHeight="1" x14ac:dyDescent="0.3">
      <c r="A245" s="2"/>
      <c r="B245" s="2"/>
      <c r="C245" s="2"/>
      <c r="D245" s="18"/>
      <c r="E245" s="228"/>
      <c r="I245" s="230"/>
      <c r="J245" s="230"/>
      <c r="K245" s="230"/>
      <c r="L245" s="230"/>
      <c r="M245" s="230"/>
      <c r="N245" s="230"/>
      <c r="O245" s="241"/>
    </row>
    <row r="246" spans="1:21" ht="15.75" hidden="1" customHeight="1" x14ac:dyDescent="0.3">
      <c r="A246" s="2"/>
      <c r="B246" s="2"/>
      <c r="C246" s="2"/>
      <c r="D246" s="18"/>
      <c r="E246" s="228"/>
      <c r="I246" s="471"/>
      <c r="J246" s="154"/>
      <c r="K246" s="154"/>
      <c r="L246" s="347"/>
      <c r="M246" s="411"/>
      <c r="N246" s="68"/>
      <c r="O246" s="241"/>
    </row>
    <row r="247" spans="1:21" ht="15.75" customHeight="1" x14ac:dyDescent="0.3">
      <c r="A247" s="2"/>
      <c r="B247" s="2"/>
      <c r="C247" s="2"/>
      <c r="D247" s="18"/>
      <c r="E247" s="228"/>
      <c r="I247" s="155"/>
      <c r="J247" s="155"/>
      <c r="K247" s="155"/>
      <c r="L247" s="155"/>
      <c r="M247" s="155"/>
      <c r="N247" s="155"/>
      <c r="O247" s="241"/>
    </row>
    <row r="248" spans="1:21" ht="15.75" customHeight="1" x14ac:dyDescent="0.3">
      <c r="A248" s="2"/>
      <c r="B248" s="2"/>
      <c r="C248" s="2"/>
      <c r="D248" s="18"/>
      <c r="E248" s="228"/>
      <c r="I248" s="155"/>
      <c r="N248" s="155"/>
      <c r="O248" s="241"/>
    </row>
    <row r="249" spans="1:21" ht="15.75" customHeight="1" x14ac:dyDescent="0.3">
      <c r="A249" s="2"/>
      <c r="B249" s="2"/>
      <c r="C249" s="2" t="s">
        <v>325</v>
      </c>
      <c r="D249" s="18"/>
      <c r="E249" s="228"/>
      <c r="I249" s="153">
        <f>I237+I228+I243+I232+I247</f>
        <v>19684137.520000003</v>
      </c>
      <c r="J249" s="153">
        <f t="shared" ref="J249:N249" si="66">J237+J228+J243+J232+J247</f>
        <v>0</v>
      </c>
      <c r="K249" s="153">
        <f t="shared" si="66"/>
        <v>0</v>
      </c>
      <c r="L249" s="153">
        <f t="shared" si="66"/>
        <v>13944623.200000001</v>
      </c>
      <c r="M249" s="153">
        <f t="shared" si="66"/>
        <v>4454489.49</v>
      </c>
      <c r="N249" s="153">
        <f t="shared" si="66"/>
        <v>18399112.689999998</v>
      </c>
      <c r="O249" s="153">
        <f t="shared" ref="O249:U249" si="67">O237+O228</f>
        <v>18997882.59</v>
      </c>
      <c r="P249" s="153">
        <f t="shared" si="67"/>
        <v>0</v>
      </c>
      <c r="Q249" s="153">
        <f t="shared" si="67"/>
        <v>0</v>
      </c>
      <c r="R249" s="153">
        <f t="shared" si="67"/>
        <v>12448802.440000001</v>
      </c>
      <c r="S249" s="153">
        <f t="shared" si="67"/>
        <v>0</v>
      </c>
      <c r="T249" s="153">
        <f t="shared" si="67"/>
        <v>0</v>
      </c>
      <c r="U249" s="153">
        <f t="shared" si="67"/>
        <v>0</v>
      </c>
    </row>
    <row r="250" spans="1:21" ht="15.75" customHeight="1" x14ac:dyDescent="0.3">
      <c r="A250" s="2"/>
      <c r="B250" s="2"/>
      <c r="C250" s="2"/>
      <c r="D250" s="18"/>
      <c r="E250" s="228"/>
      <c r="I250" s="155"/>
      <c r="N250" s="155"/>
      <c r="O250" s="241"/>
    </row>
    <row r="251" spans="1:21" ht="15.75" customHeight="1" x14ac:dyDescent="0.3">
      <c r="A251" s="2"/>
      <c r="B251" s="2"/>
      <c r="C251" s="2"/>
      <c r="D251" s="18"/>
      <c r="E251" s="228"/>
      <c r="O251" s="241"/>
    </row>
    <row r="252" spans="1:21" x14ac:dyDescent="0.3">
      <c r="A252" s="16" t="s">
        <v>326</v>
      </c>
      <c r="D252" s="25"/>
      <c r="I252" s="154">
        <f>SUM(I206,I201,I92,I249)</f>
        <v>1830789591.8699999</v>
      </c>
      <c r="J252" s="154">
        <f t="shared" ref="J252:N252" si="68">SUM(J206,J201,J92,J249)</f>
        <v>0</v>
      </c>
      <c r="K252" s="154">
        <f t="shared" si="68"/>
        <v>0</v>
      </c>
      <c r="L252" s="154">
        <f t="shared" si="68"/>
        <v>1340013169.3100002</v>
      </c>
      <c r="M252" s="154">
        <f t="shared" si="68"/>
        <v>858241786.88916647</v>
      </c>
      <c r="N252" s="154">
        <f t="shared" si="68"/>
        <v>2198254956.1991668</v>
      </c>
      <c r="O252" s="241">
        <f t="shared" si="51"/>
        <v>1830789591.8699999</v>
      </c>
      <c r="T252" s="239">
        <f>N252-[14]FC1DIS!$J$220</f>
        <v>1160990462.9291668</v>
      </c>
    </row>
    <row r="253" spans="1:21" x14ac:dyDescent="0.3">
      <c r="K253" s="22"/>
      <c r="L253" s="22"/>
      <c r="M253" s="22"/>
      <c r="O253" s="241">
        <f t="shared" si="51"/>
        <v>0</v>
      </c>
    </row>
    <row r="254" spans="1:21" x14ac:dyDescent="0.3">
      <c r="A254" s="13" t="s">
        <v>259</v>
      </c>
      <c r="B254" s="13"/>
      <c r="C254" s="13"/>
      <c r="I254" s="154">
        <f>I31-I252</f>
        <v>-1830356991.8699999</v>
      </c>
      <c r="J254" s="154">
        <f t="shared" ref="J254:M254" si="69">J31-J252</f>
        <v>0</v>
      </c>
      <c r="K254" s="154">
        <f t="shared" si="69"/>
        <v>0</v>
      </c>
      <c r="L254" s="154">
        <f t="shared" si="69"/>
        <v>-1335749999.2700002</v>
      </c>
      <c r="M254" s="154">
        <f t="shared" si="69"/>
        <v>-858241786.88916647</v>
      </c>
      <c r="N254" s="21">
        <f>N31-N252</f>
        <v>-2193991786.1591668</v>
      </c>
      <c r="O254" s="241">
        <f t="shared" si="51"/>
        <v>-1830356991.8699999</v>
      </c>
      <c r="Q254" s="239">
        <f>N254-[15]FC1DIS!$H$216</f>
        <v>-1247571713.249167</v>
      </c>
      <c r="T254" s="239">
        <f>N254-[14]FC1DIS!$J$222</f>
        <v>-1162970631.3491669</v>
      </c>
    </row>
    <row r="255" spans="1:21" x14ac:dyDescent="0.3">
      <c r="K255" s="22"/>
      <c r="L255" s="22"/>
      <c r="M255" s="22"/>
      <c r="O255" s="241">
        <f t="shared" si="51"/>
        <v>0</v>
      </c>
    </row>
    <row r="256" spans="1:21" x14ac:dyDescent="0.3">
      <c r="A256" s="16" t="s">
        <v>337</v>
      </c>
      <c r="F256" s="312">
        <v>20</v>
      </c>
      <c r="K256" s="22"/>
      <c r="L256" s="22"/>
      <c r="M256" s="22"/>
      <c r="O256" s="241"/>
    </row>
    <row r="257" spans="1:20" x14ac:dyDescent="0.3">
      <c r="A257" s="25" t="s">
        <v>330</v>
      </c>
      <c r="B257" s="25"/>
      <c r="C257" s="25"/>
      <c r="D257" s="25"/>
      <c r="E257" s="236"/>
      <c r="G257" s="481"/>
      <c r="K257" s="22"/>
      <c r="L257" s="22"/>
      <c r="M257" s="22"/>
      <c r="O257" s="241">
        <f t="shared" si="51"/>
        <v>0</v>
      </c>
    </row>
    <row r="258" spans="1:20" x14ac:dyDescent="0.3">
      <c r="D258" s="16" t="s">
        <v>218</v>
      </c>
      <c r="E258" s="227"/>
      <c r="G258" s="469">
        <v>4030101000</v>
      </c>
      <c r="I258" s="6">
        <f>VLOOKUP($G258,'FC1-Pre TB 2024'!$C$10:$F$276,4,FALSE)</f>
        <v>9780803338.5300007</v>
      </c>
      <c r="K258" s="20"/>
      <c r="L258" s="346">
        <f>VLOOKUP($G258,'Restated FC1-Pre TB 2023'!$C$10:$E$271,3,FALSE)</f>
        <v>7271006757.5699997</v>
      </c>
      <c r="M258" s="410">
        <f t="shared" ref="M258:M261" si="70">N258-L258</f>
        <v>0</v>
      </c>
      <c r="N258" s="37">
        <f>VLOOKUP($G258,'Restated FC1-Pre TB 2023'!$C$10:$I$271,7,FALSE)</f>
        <v>7271006757.5699997</v>
      </c>
      <c r="O258" s="241">
        <f t="shared" si="51"/>
        <v>9780803338.5300007</v>
      </c>
    </row>
    <row r="259" spans="1:20" x14ac:dyDescent="0.3">
      <c r="D259" s="16" t="s">
        <v>451</v>
      </c>
      <c r="E259" s="227"/>
      <c r="G259" s="469">
        <v>4030102000</v>
      </c>
      <c r="I259" s="6">
        <f>VLOOKUP($G259,'FC1-Pre TB 2024'!$C$10:$F$276,4,FALSE)</f>
        <v>2011675</v>
      </c>
      <c r="K259" s="20"/>
      <c r="L259" s="346">
        <f>VLOOKUP($G259,'Restated FC1-Pre TB 2023'!$C$10:$E$271,3,FALSE)</f>
        <v>0</v>
      </c>
      <c r="M259" s="410">
        <f t="shared" si="70"/>
        <v>0</v>
      </c>
      <c r="N259" s="37">
        <f>VLOOKUP($G259,'Restated FC1-Pre TB 2023'!$C$10:$I$271,7,FALSE)</f>
        <v>0</v>
      </c>
      <c r="O259" s="241">
        <f t="shared" si="51"/>
        <v>2011675</v>
      </c>
      <c r="P259" s="239" t="s">
        <v>474</v>
      </c>
    </row>
    <row r="260" spans="1:20" x14ac:dyDescent="0.3">
      <c r="D260" s="16" t="s">
        <v>358</v>
      </c>
      <c r="E260" s="227"/>
      <c r="G260" s="469">
        <v>4030106000</v>
      </c>
      <c r="I260" s="6">
        <f>VLOOKUP($G260,'FC1-Pre TB 2024'!$C$10:$F$276,4,FALSE)</f>
        <v>79201144.109999999</v>
      </c>
      <c r="K260" s="20"/>
      <c r="L260" s="346">
        <f>VLOOKUP($G260,'Restated FC1-Pre TB 2023'!$C$10:$E$271,3,FALSE)</f>
        <v>96170470.989999995</v>
      </c>
      <c r="M260" s="410">
        <f t="shared" si="70"/>
        <v>-907500</v>
      </c>
      <c r="N260" s="37">
        <f>VLOOKUP($G260,'Restated FC1-Pre TB 2023'!$C$10:$I$271,7,FALSE)</f>
        <v>95262970.989999995</v>
      </c>
      <c r="O260" s="241">
        <f t="shared" si="51"/>
        <v>79201144.109999999</v>
      </c>
    </row>
    <row r="261" spans="1:20" x14ac:dyDescent="0.3">
      <c r="D261" s="16" t="s">
        <v>444</v>
      </c>
      <c r="E261" s="227"/>
      <c r="G261" s="469">
        <v>4030107000</v>
      </c>
      <c r="I261" s="6">
        <f>VLOOKUP($G261,'FC1-Pre TB 2024'!$C$10:$F$276,4,FALSE)</f>
        <v>151284609.75999999</v>
      </c>
      <c r="K261" s="20"/>
      <c r="L261" s="346">
        <f>VLOOKUP($G261,'Restated FC1-Pre TB 2023'!$C$10:$E$271,3,FALSE)</f>
        <v>14004818.08</v>
      </c>
      <c r="M261" s="410">
        <f t="shared" si="70"/>
        <v>0</v>
      </c>
      <c r="N261" s="37">
        <f>VLOOKUP($G261,'Restated FC1-Pre TB 2023'!$C$10:$I$271,7,FALSE)</f>
        <v>14004818.08</v>
      </c>
      <c r="O261" s="241">
        <f t="shared" si="51"/>
        <v>151284609.75999999</v>
      </c>
      <c r="P261" s="239" t="s">
        <v>474</v>
      </c>
    </row>
    <row r="262" spans="1:20" x14ac:dyDescent="0.3">
      <c r="D262" s="18" t="s">
        <v>331</v>
      </c>
      <c r="I262" s="153">
        <f>SUM(I258:I261)</f>
        <v>10013300767.400002</v>
      </c>
      <c r="J262" s="153">
        <f t="shared" ref="J262:M262" si="71">SUM(J258:J261)</f>
        <v>0</v>
      </c>
      <c r="K262" s="153">
        <f t="shared" si="71"/>
        <v>0</v>
      </c>
      <c r="L262" s="153">
        <f t="shared" si="71"/>
        <v>7381182046.6399994</v>
      </c>
      <c r="M262" s="153">
        <f t="shared" si="71"/>
        <v>-907500</v>
      </c>
      <c r="N262" s="153">
        <f>SUM(N258:N261)</f>
        <v>7380274546.6399994</v>
      </c>
      <c r="O262" s="241">
        <f t="shared" si="51"/>
        <v>10013300767.400002</v>
      </c>
      <c r="T262" s="239">
        <f>N262-[14]FC1DIS!$J$229</f>
        <v>1796690212.4499998</v>
      </c>
    </row>
    <row r="263" spans="1:20" x14ac:dyDescent="0.3">
      <c r="O263" s="241"/>
    </row>
    <row r="264" spans="1:20" ht="45.75" customHeight="1" x14ac:dyDescent="0.3">
      <c r="A264" s="535" t="s">
        <v>500</v>
      </c>
      <c r="B264" s="535"/>
      <c r="C264" s="535"/>
      <c r="D264" s="535"/>
      <c r="E264" s="535"/>
      <c r="F264" s="535"/>
      <c r="G264" s="535"/>
      <c r="O264" s="241"/>
    </row>
    <row r="265" spans="1:20" hidden="1" x14ac:dyDescent="0.3">
      <c r="A265" s="2"/>
      <c r="B265" s="2"/>
      <c r="C265" s="2"/>
      <c r="D265" s="18" t="s">
        <v>164</v>
      </c>
      <c r="E265" s="228"/>
      <c r="G265" s="469">
        <v>5021402000</v>
      </c>
      <c r="I265" s="6">
        <f>VLOOKUP($G265,'FC1-Pre TB 2024'!$C$10:$F$276,4,FALSE)</f>
        <v>0</v>
      </c>
      <c r="L265" s="346">
        <f>VLOOKUP($G265,'Restated FC1-Pre TB 2023'!$C$10:$D$271,2,FALSE)</f>
        <v>0</v>
      </c>
      <c r="M265" s="410">
        <f t="shared" ref="M265:M269" si="72">N265-L265</f>
        <v>0</v>
      </c>
      <c r="N265" s="37">
        <f>VLOOKUP($G265,'Restated FC1-Pre TB 2023'!$C$10:$H$271,6,FALSE)</f>
        <v>0</v>
      </c>
      <c r="O265" s="241">
        <f t="shared" si="51"/>
        <v>0</v>
      </c>
    </row>
    <row r="266" spans="1:20" hidden="1" x14ac:dyDescent="0.3">
      <c r="A266" s="2"/>
      <c r="B266" s="2"/>
      <c r="C266" s="2"/>
      <c r="D266" s="26" t="s">
        <v>165</v>
      </c>
      <c r="E266" s="228"/>
      <c r="G266" s="469">
        <v>5021403000</v>
      </c>
      <c r="I266" s="6">
        <f>VLOOKUP($G266,'FC1-Pre TB 2024'!$C$10:$F$276,4,FALSE)</f>
        <v>0</v>
      </c>
      <c r="L266" s="346">
        <f>VLOOKUP($G266,'Restated FC1-Pre TB 2023'!$C$10:$D$271,2,FALSE)</f>
        <v>0</v>
      </c>
      <c r="M266" s="410">
        <f t="shared" si="72"/>
        <v>0</v>
      </c>
      <c r="N266" s="37">
        <f>VLOOKUP($G266,'Restated FC1-Pre TB 2023'!$C$10:$H$271,6,FALSE)</f>
        <v>0</v>
      </c>
      <c r="O266" s="241">
        <f t="shared" si="51"/>
        <v>0</v>
      </c>
    </row>
    <row r="267" spans="1:20" hidden="1" x14ac:dyDescent="0.3">
      <c r="A267" s="2"/>
      <c r="B267" s="2"/>
      <c r="C267" s="2"/>
      <c r="D267" s="26" t="s">
        <v>166</v>
      </c>
      <c r="E267" s="228"/>
      <c r="G267" s="469">
        <v>5021405000</v>
      </c>
      <c r="I267" s="6">
        <f>VLOOKUP($G267,'FC1-Pre TB 2024'!$C$10:$F$276,4,FALSE)</f>
        <v>0</v>
      </c>
      <c r="L267" s="346">
        <f>VLOOKUP($G267,'Restated FC1-Pre TB 2023'!$C$10:$D$271,2,FALSE)</f>
        <v>0</v>
      </c>
      <c r="M267" s="410">
        <f t="shared" si="72"/>
        <v>0</v>
      </c>
      <c r="N267" s="37">
        <f>VLOOKUP($G267,'Restated FC1-Pre TB 2023'!$C$10:$H$271,6,FALSE)</f>
        <v>0</v>
      </c>
      <c r="O267" s="241">
        <f t="shared" si="51"/>
        <v>0</v>
      </c>
    </row>
    <row r="268" spans="1:20" x14ac:dyDescent="0.3">
      <c r="A268" s="2"/>
      <c r="B268" s="2"/>
      <c r="C268" s="2"/>
      <c r="D268" s="18" t="s">
        <v>167</v>
      </c>
      <c r="E268" s="228"/>
      <c r="G268" s="469">
        <v>5021499000</v>
      </c>
      <c r="I268" s="6">
        <f>VLOOKUP($G268,'FC1-Pre TB 2024'!$C$10:$F$276,4,FALSE)</f>
        <v>7371388425.0100002</v>
      </c>
      <c r="L268" s="346">
        <f>VLOOKUP($G268,'Restated FC1-Pre TB 2023'!$C$10:$D$271,2,FALSE)</f>
        <v>4827333900.1599998</v>
      </c>
      <c r="M268" s="410">
        <f t="shared" si="72"/>
        <v>346008271.34000015</v>
      </c>
      <c r="N268" s="37">
        <f>VLOOKUP($G268,'Restated FC1-Pre TB 2023'!$C$10:$H$271,6,FALSE)</f>
        <v>5173342171.5</v>
      </c>
      <c r="O268" s="241">
        <f t="shared" si="51"/>
        <v>7371388425.0100002</v>
      </c>
    </row>
    <row r="269" spans="1:20" x14ac:dyDescent="0.3">
      <c r="A269" s="2"/>
      <c r="B269" s="2"/>
      <c r="C269" s="2"/>
      <c r="D269" s="18" t="s">
        <v>442</v>
      </c>
      <c r="E269" s="228"/>
      <c r="G269" s="469">
        <v>5021407000</v>
      </c>
      <c r="I269" s="6">
        <f>VLOOKUP($G269,'FC1-Pre TB 2024'!$C$10:$F$276,4,FALSE)</f>
        <v>24573473.57</v>
      </c>
      <c r="L269" s="346">
        <f>VLOOKUP($G269,'Restated FC1-Pre TB 2023'!$C$10:$D$271,2,FALSE)</f>
        <v>29549399.52</v>
      </c>
      <c r="M269" s="410">
        <f t="shared" si="72"/>
        <v>0</v>
      </c>
      <c r="N269" s="37">
        <f>VLOOKUP($G269,'Restated FC1-Pre TB 2023'!$C$10:$H$271,6,FALSE)</f>
        <v>29549399.52</v>
      </c>
      <c r="O269" s="241">
        <f t="shared" si="51"/>
        <v>24573473.57</v>
      </c>
    </row>
    <row r="270" spans="1:20" x14ac:dyDescent="0.3">
      <c r="D270" s="18" t="s">
        <v>332</v>
      </c>
      <c r="I270" s="153">
        <f>SUM(I265:I269)</f>
        <v>7395961898.5799999</v>
      </c>
      <c r="J270" s="153">
        <f t="shared" ref="J270:M270" si="73">SUM(J265:J269)</f>
        <v>0</v>
      </c>
      <c r="K270" s="153">
        <f t="shared" si="73"/>
        <v>0</v>
      </c>
      <c r="L270" s="153">
        <f t="shared" si="73"/>
        <v>4856883299.6800003</v>
      </c>
      <c r="M270" s="153">
        <f t="shared" si="73"/>
        <v>346008271.34000015</v>
      </c>
      <c r="N270" s="152">
        <f>SUM(N265:N269)</f>
        <v>5202891571.0200005</v>
      </c>
      <c r="O270" s="241">
        <f t="shared" si="51"/>
        <v>7395961898.5799999</v>
      </c>
      <c r="T270" s="239">
        <f>N270-[14]FC1DIS!$J$237</f>
        <v>1001453668.6400003</v>
      </c>
    </row>
    <row r="271" spans="1:20" x14ac:dyDescent="0.3">
      <c r="O271" s="241">
        <f t="shared" si="51"/>
        <v>0</v>
      </c>
    </row>
    <row r="272" spans="1:20" x14ac:dyDescent="0.3">
      <c r="A272" s="13" t="s">
        <v>333</v>
      </c>
      <c r="F272" s="326"/>
      <c r="I272" s="154">
        <f>I262-I270</f>
        <v>2617338868.8200016</v>
      </c>
      <c r="J272" s="21">
        <f t="shared" ref="J272:M272" si="74">J262-J270</f>
        <v>0</v>
      </c>
      <c r="K272" s="21">
        <f t="shared" si="74"/>
        <v>0</v>
      </c>
      <c r="L272" s="21">
        <f t="shared" si="74"/>
        <v>2524298746.9599991</v>
      </c>
      <c r="M272" s="21">
        <f t="shared" si="74"/>
        <v>-346915771.34000015</v>
      </c>
      <c r="N272" s="21">
        <f>N262-N270</f>
        <v>2177382975.6199989</v>
      </c>
      <c r="O272" s="241">
        <f t="shared" si="51"/>
        <v>2617338868.8200016</v>
      </c>
      <c r="T272" s="239">
        <f>N272-[14]FC1DIS!$J$239</f>
        <v>795236543.80999947</v>
      </c>
    </row>
    <row r="273" spans="1:21" x14ac:dyDescent="0.3">
      <c r="F273" s="326"/>
      <c r="I273" s="155"/>
      <c r="N273" s="49"/>
      <c r="O273" s="241"/>
    </row>
    <row r="274" spans="1:21" x14ac:dyDescent="0.3">
      <c r="A274" s="507" t="s">
        <v>519</v>
      </c>
      <c r="F274" s="326">
        <v>21</v>
      </c>
      <c r="I274" s="155"/>
      <c r="N274" s="49"/>
      <c r="O274" s="241"/>
    </row>
    <row r="275" spans="1:21" x14ac:dyDescent="0.3">
      <c r="B275" s="523"/>
      <c r="C275" s="16" t="s">
        <v>520</v>
      </c>
      <c r="F275" s="326">
        <v>21.1</v>
      </c>
      <c r="I275" s="155"/>
      <c r="N275" s="49"/>
      <c r="O275" s="241"/>
    </row>
    <row r="276" spans="1:21" x14ac:dyDescent="0.3">
      <c r="D276" s="18" t="s">
        <v>216</v>
      </c>
      <c r="F276" s="326"/>
      <c r="G276" s="469">
        <v>4050199000</v>
      </c>
      <c r="I276" s="230">
        <f>VLOOKUP(G276,'tb control'!C10:E275,3,FALSE)</f>
        <v>200</v>
      </c>
      <c r="L276" s="346">
        <f>VLOOKUP($G276,'Restated FC1-Pre TB 2023'!$C$10:$E$271,3,FALSE)</f>
        <v>0</v>
      </c>
      <c r="M276" s="410">
        <f t="shared" ref="M276" si="75">N276-L276</f>
        <v>0</v>
      </c>
      <c r="N276" s="37">
        <f>VLOOKUP($G276,'Restated FC1-Pre TB 2023'!$C$10:$I$271,7,FALSE)</f>
        <v>0</v>
      </c>
      <c r="O276" s="241"/>
    </row>
    <row r="277" spans="1:21" x14ac:dyDescent="0.3">
      <c r="D277" s="32" t="s">
        <v>521</v>
      </c>
      <c r="F277" s="326"/>
      <c r="I277" s="153">
        <f>SUM(I276)</f>
        <v>200</v>
      </c>
      <c r="J277" s="152">
        <f t="shared" ref="J277:N277" si="76">SUM(J276)</f>
        <v>0</v>
      </c>
      <c r="K277" s="152">
        <f t="shared" si="76"/>
        <v>0</v>
      </c>
      <c r="L277" s="152">
        <f t="shared" si="76"/>
        <v>0</v>
      </c>
      <c r="M277" s="152">
        <f t="shared" si="76"/>
        <v>0</v>
      </c>
      <c r="N277" s="152">
        <f t="shared" si="76"/>
        <v>0</v>
      </c>
      <c r="O277" s="241"/>
    </row>
    <row r="278" spans="1:21" x14ac:dyDescent="0.3">
      <c r="D278" s="32"/>
      <c r="F278" s="326"/>
      <c r="I278" s="155"/>
      <c r="J278" s="49"/>
      <c r="K278" s="49"/>
      <c r="L278" s="49"/>
      <c r="M278" s="49"/>
      <c r="N278" s="49"/>
      <c r="O278" s="241"/>
    </row>
    <row r="279" spans="1:21" x14ac:dyDescent="0.3">
      <c r="C279" s="2" t="s">
        <v>465</v>
      </c>
      <c r="D279" s="18"/>
      <c r="E279" s="228"/>
      <c r="F279" s="312">
        <v>21.2</v>
      </c>
      <c r="I279" s="230"/>
      <c r="J279" s="230"/>
      <c r="K279" s="230"/>
      <c r="L279" s="230"/>
      <c r="M279" s="230"/>
      <c r="N279" s="230"/>
      <c r="O279" s="241"/>
    </row>
    <row r="280" spans="1:21" x14ac:dyDescent="0.3">
      <c r="C280" s="2"/>
      <c r="D280" s="18" t="s">
        <v>551</v>
      </c>
      <c r="E280" s="228"/>
      <c r="G280" s="469">
        <v>5050404000</v>
      </c>
      <c r="I280" s="471">
        <f>VLOOKUP($G280,'FC1-Pre TB 2024'!$C$10:$F$276,4,FALSE)</f>
        <v>368530.6</v>
      </c>
      <c r="J280" s="154"/>
      <c r="K280" s="154"/>
      <c r="L280" s="347">
        <v>0</v>
      </c>
      <c r="M280" s="411">
        <v>0</v>
      </c>
      <c r="N280" s="68">
        <v>0</v>
      </c>
      <c r="O280" s="241"/>
    </row>
    <row r="281" spans="1:21" x14ac:dyDescent="0.3">
      <c r="A281" s="339"/>
      <c r="C281" s="57" t="s">
        <v>560</v>
      </c>
      <c r="D281" s="18"/>
      <c r="E281" s="228"/>
      <c r="I281" s="155">
        <f>SUM(I280)</f>
        <v>368530.6</v>
      </c>
      <c r="J281" s="155">
        <f t="shared" ref="J281:N281" si="77">SUM(J280)</f>
        <v>0</v>
      </c>
      <c r="K281" s="155">
        <f t="shared" si="77"/>
        <v>0</v>
      </c>
      <c r="L281" s="155">
        <f t="shared" si="77"/>
        <v>0</v>
      </c>
      <c r="M281" s="155">
        <f t="shared" si="77"/>
        <v>0</v>
      </c>
      <c r="N281" s="155">
        <f t="shared" si="77"/>
        <v>0</v>
      </c>
      <c r="O281" s="241">
        <f t="shared" si="51"/>
        <v>368530.6</v>
      </c>
    </row>
    <row r="282" spans="1:21" x14ac:dyDescent="0.3">
      <c r="A282" s="339"/>
      <c r="C282" s="2"/>
      <c r="D282" s="18"/>
      <c r="E282" s="228"/>
      <c r="I282" s="155"/>
      <c r="J282" s="155"/>
      <c r="K282" s="155"/>
      <c r="L282" s="155"/>
      <c r="M282" s="155"/>
      <c r="N282" s="155"/>
      <c r="O282" s="241"/>
    </row>
    <row r="283" spans="1:21" s="246" customFormat="1" ht="17.25" thickBot="1" x14ac:dyDescent="0.35">
      <c r="A283" s="13" t="s">
        <v>334</v>
      </c>
      <c r="B283" s="13"/>
      <c r="C283" s="13"/>
      <c r="D283" s="47"/>
      <c r="E283" s="231"/>
      <c r="F283" s="312"/>
      <c r="G283" s="450"/>
      <c r="H283" s="482" t="s">
        <v>182</v>
      </c>
      <c r="I283" s="483">
        <f>I254+I272+I277-I281</f>
        <v>786613546.35000169</v>
      </c>
      <c r="J283" s="33">
        <f t="shared" ref="J283:L283" si="78">J254+J272+J277</f>
        <v>0</v>
      </c>
      <c r="K283" s="33">
        <f t="shared" si="78"/>
        <v>0</v>
      </c>
      <c r="L283" s="33">
        <f t="shared" si="78"/>
        <v>1188548747.6899989</v>
      </c>
      <c r="M283" s="33">
        <f>M254+M272+M277</f>
        <v>-1205157558.2291665</v>
      </c>
      <c r="N283" s="33">
        <f>(N254+N272)</f>
        <v>-16608810.539167881</v>
      </c>
      <c r="O283" s="241">
        <f t="shared" si="51"/>
        <v>786613546.35000169</v>
      </c>
      <c r="P283" s="245"/>
      <c r="Q283" s="245"/>
      <c r="R283" s="245"/>
      <c r="T283" s="245"/>
      <c r="U283" s="245"/>
    </row>
    <row r="284" spans="1:21" ht="17.25" thickTop="1" x14ac:dyDescent="0.3">
      <c r="I284" s="6">
        <f>I283-FC1SGE!J18</f>
        <v>0</v>
      </c>
      <c r="L284" s="15">
        <f>L283-FC1SGE!L18</f>
        <v>2.8731822967529297E-3</v>
      </c>
      <c r="M284" s="15">
        <f>M283-FC1SGE!M18</f>
        <v>-2.8729438781738281E-3</v>
      </c>
      <c r="N284" s="37">
        <f>N283-FC1SGE!N18</f>
        <v>0</v>
      </c>
      <c r="P284" s="239">
        <f>N283-FC1SGE!N18</f>
        <v>0</v>
      </c>
    </row>
    <row r="285" spans="1:21" x14ac:dyDescent="0.3">
      <c r="J285" s="27"/>
      <c r="K285" s="28"/>
      <c r="L285" s="28">
        <f>L283-FC1SGE!L18</f>
        <v>2.8731822967529297E-3</v>
      </c>
      <c r="M285" s="28"/>
      <c r="N285" s="37">
        <f>N283-FC1SGE!N18</f>
        <v>0</v>
      </c>
    </row>
    <row r="286" spans="1:21" x14ac:dyDescent="0.3">
      <c r="P286" s="239">
        <f>N283-FC1SGE!N18</f>
        <v>0</v>
      </c>
    </row>
    <row r="287" spans="1:21" x14ac:dyDescent="0.3">
      <c r="F287" s="313" t="s">
        <v>95</v>
      </c>
      <c r="G287" s="484"/>
      <c r="H287" s="6"/>
      <c r="J287" s="171"/>
      <c r="P287" s="239">
        <f>I283-FC1SGE!J18</f>
        <v>0</v>
      </c>
      <c r="Q287" s="239">
        <f>5788384417.79</f>
        <v>5788384417.79</v>
      </c>
    </row>
    <row r="288" spans="1:21" x14ac:dyDescent="0.3">
      <c r="F288" s="313"/>
      <c r="G288" s="485"/>
      <c r="H288" s="486" t="s">
        <v>389</v>
      </c>
      <c r="J288" s="171"/>
      <c r="Q288" s="239">
        <v>5595139984.9499998</v>
      </c>
    </row>
    <row r="289" spans="6:17" x14ac:dyDescent="0.3">
      <c r="F289" s="313"/>
      <c r="G289" s="484"/>
      <c r="H289" s="487" t="s">
        <v>363</v>
      </c>
      <c r="J289" s="171"/>
      <c r="Q289" s="239">
        <f>Q287-Q288</f>
        <v>193244432.84000015</v>
      </c>
    </row>
    <row r="291" spans="6:17" x14ac:dyDescent="0.3">
      <c r="I291" s="6">
        <f>I283-FC1SGE!J18</f>
        <v>0</v>
      </c>
      <c r="N291" s="37">
        <f>N283-FC1SGE!N18</f>
        <v>0</v>
      </c>
      <c r="Q291" s="239">
        <f>583712270.47</f>
        <v>583712270.47000003</v>
      </c>
    </row>
    <row r="292" spans="6:17" x14ac:dyDescent="0.3">
      <c r="Q292" s="239">
        <v>4334630691.4799995</v>
      </c>
    </row>
    <row r="293" spans="6:17" x14ac:dyDescent="0.3">
      <c r="Q293" s="239">
        <v>6865478.5199999996</v>
      </c>
    </row>
    <row r="294" spans="6:17" x14ac:dyDescent="0.3">
      <c r="Q294" s="245">
        <f>SUM(Q291:Q293)</f>
        <v>4925208440.4700003</v>
      </c>
    </row>
    <row r="296" spans="6:17" x14ac:dyDescent="0.3">
      <c r="Q296" s="239">
        <f>Q288-Q294</f>
        <v>669931544.47999954</v>
      </c>
    </row>
    <row r="298" spans="6:17" x14ac:dyDescent="0.3">
      <c r="Q298" s="239">
        <f>Q296+Q289</f>
        <v>863175977.31999969</v>
      </c>
    </row>
  </sheetData>
  <autoFilter ref="I12:N12"/>
  <mergeCells count="6">
    <mergeCell ref="A264:G264"/>
    <mergeCell ref="A5:N5"/>
    <mergeCell ref="A1:N1"/>
    <mergeCell ref="A2:N2"/>
    <mergeCell ref="A3:N3"/>
    <mergeCell ref="A4:N4"/>
  </mergeCells>
  <printOptions horizontalCentered="1"/>
  <pageMargins left="0.43307086614173229" right="0.43307086614173229" top="0.39370078740157483" bottom="0.39370078740157483" header="0.31496062992125984" footer="0.31496062992125984"/>
  <pageSetup paperSize="9" scale="5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9"/>
  <sheetViews>
    <sheetView zoomScaleNormal="100" workbookViewId="0">
      <pane ySplit="5" topLeftCell="A6" activePane="bottomLeft" state="frozen"/>
      <selection activeCell="N15" sqref="N15"/>
      <selection pane="bottomLeft" activeCell="J27" sqref="J27"/>
    </sheetView>
  </sheetViews>
  <sheetFormatPr defaultRowHeight="16.5" x14ac:dyDescent="0.3"/>
  <cols>
    <col min="1" max="1" width="5.140625" style="16" customWidth="1"/>
    <col min="2" max="2" width="3.42578125" style="18" customWidth="1"/>
    <col min="3" max="3" width="38.5703125" style="14" bestFit="1" customWidth="1"/>
    <col min="4" max="4" width="11.140625" style="325" customWidth="1"/>
    <col min="5" max="5" width="2.85546875" style="14" customWidth="1"/>
    <col min="6" max="6" width="16.7109375" style="171" customWidth="1"/>
    <col min="7" max="7" width="2.140625" style="324" customWidth="1"/>
    <col min="8" max="8" width="16.5703125" style="37" customWidth="1"/>
    <col min="9" max="9" width="12.85546875" style="38" customWidth="1"/>
    <col min="10" max="10" width="9.140625" style="38"/>
    <col min="11" max="11" width="16.28515625" style="38" bestFit="1" customWidth="1"/>
    <col min="12" max="255" width="9.140625" style="38"/>
    <col min="256" max="256" width="5.140625" style="38" customWidth="1"/>
    <col min="257" max="257" width="3.42578125" style="38" customWidth="1"/>
    <col min="258" max="258" width="38.5703125" style="38" bestFit="1" customWidth="1"/>
    <col min="259" max="259" width="1.85546875" style="38" customWidth="1"/>
    <col min="260" max="260" width="2.42578125" style="38" customWidth="1"/>
    <col min="261" max="261" width="14.5703125" style="38" bestFit="1" customWidth="1"/>
    <col min="262" max="262" width="2.140625" style="38" bestFit="1" customWidth="1"/>
    <col min="263" max="263" width="16" style="38" bestFit="1" customWidth="1"/>
    <col min="264" max="511" width="9.140625" style="38"/>
    <col min="512" max="512" width="5.140625" style="38" customWidth="1"/>
    <col min="513" max="513" width="3.42578125" style="38" customWidth="1"/>
    <col min="514" max="514" width="38.5703125" style="38" bestFit="1" customWidth="1"/>
    <col min="515" max="515" width="1.85546875" style="38" customWidth="1"/>
    <col min="516" max="516" width="2.42578125" style="38" customWidth="1"/>
    <col min="517" max="517" width="14.5703125" style="38" bestFit="1" customWidth="1"/>
    <col min="518" max="518" width="2.140625" style="38" bestFit="1" customWidth="1"/>
    <col min="519" max="519" width="16" style="38" bestFit="1" customWidth="1"/>
    <col min="520" max="767" width="9.140625" style="38"/>
    <col min="768" max="768" width="5.140625" style="38" customWidth="1"/>
    <col min="769" max="769" width="3.42578125" style="38" customWidth="1"/>
    <col min="770" max="770" width="38.5703125" style="38" bestFit="1" customWidth="1"/>
    <col min="771" max="771" width="1.85546875" style="38" customWidth="1"/>
    <col min="772" max="772" width="2.42578125" style="38" customWidth="1"/>
    <col min="773" max="773" width="14.5703125" style="38" bestFit="1" customWidth="1"/>
    <col min="774" max="774" width="2.140625" style="38" bestFit="1" customWidth="1"/>
    <col min="775" max="775" width="16" style="38" bestFit="1" customWidth="1"/>
    <col min="776" max="1023" width="9.140625" style="38"/>
    <col min="1024" max="1024" width="5.140625" style="38" customWidth="1"/>
    <col min="1025" max="1025" width="3.42578125" style="38" customWidth="1"/>
    <col min="1026" max="1026" width="38.5703125" style="38" bestFit="1" customWidth="1"/>
    <col min="1027" max="1027" width="1.85546875" style="38" customWidth="1"/>
    <col min="1028" max="1028" width="2.42578125" style="38" customWidth="1"/>
    <col min="1029" max="1029" width="14.5703125" style="38" bestFit="1" customWidth="1"/>
    <col min="1030" max="1030" width="2.140625" style="38" bestFit="1" customWidth="1"/>
    <col min="1031" max="1031" width="16" style="38" bestFit="1" customWidth="1"/>
    <col min="1032" max="1279" width="9.140625" style="38"/>
    <col min="1280" max="1280" width="5.140625" style="38" customWidth="1"/>
    <col min="1281" max="1281" width="3.42578125" style="38" customWidth="1"/>
    <col min="1282" max="1282" width="38.5703125" style="38" bestFit="1" customWidth="1"/>
    <col min="1283" max="1283" width="1.85546875" style="38" customWidth="1"/>
    <col min="1284" max="1284" width="2.42578125" style="38" customWidth="1"/>
    <col min="1285" max="1285" width="14.5703125" style="38" bestFit="1" customWidth="1"/>
    <col min="1286" max="1286" width="2.140625" style="38" bestFit="1" customWidth="1"/>
    <col min="1287" max="1287" width="16" style="38" bestFit="1" customWidth="1"/>
    <col min="1288" max="1535" width="9.140625" style="38"/>
    <col min="1536" max="1536" width="5.140625" style="38" customWidth="1"/>
    <col min="1537" max="1537" width="3.42578125" style="38" customWidth="1"/>
    <col min="1538" max="1538" width="38.5703125" style="38" bestFit="1" customWidth="1"/>
    <col min="1539" max="1539" width="1.85546875" style="38" customWidth="1"/>
    <col min="1540" max="1540" width="2.42578125" style="38" customWidth="1"/>
    <col min="1541" max="1541" width="14.5703125" style="38" bestFit="1" customWidth="1"/>
    <col min="1542" max="1542" width="2.140625" style="38" bestFit="1" customWidth="1"/>
    <col min="1543" max="1543" width="16" style="38" bestFit="1" customWidth="1"/>
    <col min="1544" max="1791" width="9.140625" style="38"/>
    <col min="1792" max="1792" width="5.140625" style="38" customWidth="1"/>
    <col min="1793" max="1793" width="3.42578125" style="38" customWidth="1"/>
    <col min="1794" max="1794" width="38.5703125" style="38" bestFit="1" customWidth="1"/>
    <col min="1795" max="1795" width="1.85546875" style="38" customWidth="1"/>
    <col min="1796" max="1796" width="2.42578125" style="38" customWidth="1"/>
    <col min="1797" max="1797" width="14.5703125" style="38" bestFit="1" customWidth="1"/>
    <col min="1798" max="1798" width="2.140625" style="38" bestFit="1" customWidth="1"/>
    <col min="1799" max="1799" width="16" style="38" bestFit="1" customWidth="1"/>
    <col min="1800" max="2047" width="9.140625" style="38"/>
    <col min="2048" max="2048" width="5.140625" style="38" customWidth="1"/>
    <col min="2049" max="2049" width="3.42578125" style="38" customWidth="1"/>
    <col min="2050" max="2050" width="38.5703125" style="38" bestFit="1" customWidth="1"/>
    <col min="2051" max="2051" width="1.85546875" style="38" customWidth="1"/>
    <col min="2052" max="2052" width="2.42578125" style="38" customWidth="1"/>
    <col min="2053" max="2053" width="14.5703125" style="38" bestFit="1" customWidth="1"/>
    <col min="2054" max="2054" width="2.140625" style="38" bestFit="1" customWidth="1"/>
    <col min="2055" max="2055" width="16" style="38" bestFit="1" customWidth="1"/>
    <col min="2056" max="2303" width="9.140625" style="38"/>
    <col min="2304" max="2304" width="5.140625" style="38" customWidth="1"/>
    <col min="2305" max="2305" width="3.42578125" style="38" customWidth="1"/>
    <col min="2306" max="2306" width="38.5703125" style="38" bestFit="1" customWidth="1"/>
    <col min="2307" max="2307" width="1.85546875" style="38" customWidth="1"/>
    <col min="2308" max="2308" width="2.42578125" style="38" customWidth="1"/>
    <col min="2309" max="2309" width="14.5703125" style="38" bestFit="1" customWidth="1"/>
    <col min="2310" max="2310" width="2.140625" style="38" bestFit="1" customWidth="1"/>
    <col min="2311" max="2311" width="16" style="38" bestFit="1" customWidth="1"/>
    <col min="2312" max="2559" width="9.140625" style="38"/>
    <col min="2560" max="2560" width="5.140625" style="38" customWidth="1"/>
    <col min="2561" max="2561" width="3.42578125" style="38" customWidth="1"/>
    <col min="2562" max="2562" width="38.5703125" style="38" bestFit="1" customWidth="1"/>
    <col min="2563" max="2563" width="1.85546875" style="38" customWidth="1"/>
    <col min="2564" max="2564" width="2.42578125" style="38" customWidth="1"/>
    <col min="2565" max="2565" width="14.5703125" style="38" bestFit="1" customWidth="1"/>
    <col min="2566" max="2566" width="2.140625" style="38" bestFit="1" customWidth="1"/>
    <col min="2567" max="2567" width="16" style="38" bestFit="1" customWidth="1"/>
    <col min="2568" max="2815" width="9.140625" style="38"/>
    <col min="2816" max="2816" width="5.140625" style="38" customWidth="1"/>
    <col min="2817" max="2817" width="3.42578125" style="38" customWidth="1"/>
    <col min="2818" max="2818" width="38.5703125" style="38" bestFit="1" customWidth="1"/>
    <col min="2819" max="2819" width="1.85546875" style="38" customWidth="1"/>
    <col min="2820" max="2820" width="2.42578125" style="38" customWidth="1"/>
    <col min="2821" max="2821" width="14.5703125" style="38" bestFit="1" customWidth="1"/>
    <col min="2822" max="2822" width="2.140625" style="38" bestFit="1" customWidth="1"/>
    <col min="2823" max="2823" width="16" style="38" bestFit="1" customWidth="1"/>
    <col min="2824" max="3071" width="9.140625" style="38"/>
    <col min="3072" max="3072" width="5.140625" style="38" customWidth="1"/>
    <col min="3073" max="3073" width="3.42578125" style="38" customWidth="1"/>
    <col min="3074" max="3074" width="38.5703125" style="38" bestFit="1" customWidth="1"/>
    <col min="3075" max="3075" width="1.85546875" style="38" customWidth="1"/>
    <col min="3076" max="3076" width="2.42578125" style="38" customWidth="1"/>
    <col min="3077" max="3077" width="14.5703125" style="38" bestFit="1" customWidth="1"/>
    <col min="3078" max="3078" width="2.140625" style="38" bestFit="1" customWidth="1"/>
    <col min="3079" max="3079" width="16" style="38" bestFit="1" customWidth="1"/>
    <col min="3080" max="3327" width="9.140625" style="38"/>
    <col min="3328" max="3328" width="5.140625" style="38" customWidth="1"/>
    <col min="3329" max="3329" width="3.42578125" style="38" customWidth="1"/>
    <col min="3330" max="3330" width="38.5703125" style="38" bestFit="1" customWidth="1"/>
    <col min="3331" max="3331" width="1.85546875" style="38" customWidth="1"/>
    <col min="3332" max="3332" width="2.42578125" style="38" customWidth="1"/>
    <col min="3333" max="3333" width="14.5703125" style="38" bestFit="1" customWidth="1"/>
    <col min="3334" max="3334" width="2.140625" style="38" bestFit="1" customWidth="1"/>
    <col min="3335" max="3335" width="16" style="38" bestFit="1" customWidth="1"/>
    <col min="3336" max="3583" width="9.140625" style="38"/>
    <col min="3584" max="3584" width="5.140625" style="38" customWidth="1"/>
    <col min="3585" max="3585" width="3.42578125" style="38" customWidth="1"/>
    <col min="3586" max="3586" width="38.5703125" style="38" bestFit="1" customWidth="1"/>
    <col min="3587" max="3587" width="1.85546875" style="38" customWidth="1"/>
    <col min="3588" max="3588" width="2.42578125" style="38" customWidth="1"/>
    <col min="3589" max="3589" width="14.5703125" style="38" bestFit="1" customWidth="1"/>
    <col min="3590" max="3590" width="2.140625" style="38" bestFit="1" customWidth="1"/>
    <col min="3591" max="3591" width="16" style="38" bestFit="1" customWidth="1"/>
    <col min="3592" max="3839" width="9.140625" style="38"/>
    <col min="3840" max="3840" width="5.140625" style="38" customWidth="1"/>
    <col min="3841" max="3841" width="3.42578125" style="38" customWidth="1"/>
    <col min="3842" max="3842" width="38.5703125" style="38" bestFit="1" customWidth="1"/>
    <col min="3843" max="3843" width="1.85546875" style="38" customWidth="1"/>
    <col min="3844" max="3844" width="2.42578125" style="38" customWidth="1"/>
    <col min="3845" max="3845" width="14.5703125" style="38" bestFit="1" customWidth="1"/>
    <col min="3846" max="3846" width="2.140625" style="38" bestFit="1" customWidth="1"/>
    <col min="3847" max="3847" width="16" style="38" bestFit="1" customWidth="1"/>
    <col min="3848" max="4095" width="9.140625" style="38"/>
    <col min="4096" max="4096" width="5.140625" style="38" customWidth="1"/>
    <col min="4097" max="4097" width="3.42578125" style="38" customWidth="1"/>
    <col min="4098" max="4098" width="38.5703125" style="38" bestFit="1" customWidth="1"/>
    <col min="4099" max="4099" width="1.85546875" style="38" customWidth="1"/>
    <col min="4100" max="4100" width="2.42578125" style="38" customWidth="1"/>
    <col min="4101" max="4101" width="14.5703125" style="38" bestFit="1" customWidth="1"/>
    <col min="4102" max="4102" width="2.140625" style="38" bestFit="1" customWidth="1"/>
    <col min="4103" max="4103" width="16" style="38" bestFit="1" customWidth="1"/>
    <col min="4104" max="4351" width="9.140625" style="38"/>
    <col min="4352" max="4352" width="5.140625" style="38" customWidth="1"/>
    <col min="4353" max="4353" width="3.42578125" style="38" customWidth="1"/>
    <col min="4354" max="4354" width="38.5703125" style="38" bestFit="1" customWidth="1"/>
    <col min="4355" max="4355" width="1.85546875" style="38" customWidth="1"/>
    <col min="4356" max="4356" width="2.42578125" style="38" customWidth="1"/>
    <col min="4357" max="4357" width="14.5703125" style="38" bestFit="1" customWidth="1"/>
    <col min="4358" max="4358" width="2.140625" style="38" bestFit="1" customWidth="1"/>
    <col min="4359" max="4359" width="16" style="38" bestFit="1" customWidth="1"/>
    <col min="4360" max="4607" width="9.140625" style="38"/>
    <col min="4608" max="4608" width="5.140625" style="38" customWidth="1"/>
    <col min="4609" max="4609" width="3.42578125" style="38" customWidth="1"/>
    <col min="4610" max="4610" width="38.5703125" style="38" bestFit="1" customWidth="1"/>
    <col min="4611" max="4611" width="1.85546875" style="38" customWidth="1"/>
    <col min="4612" max="4612" width="2.42578125" style="38" customWidth="1"/>
    <col min="4613" max="4613" width="14.5703125" style="38" bestFit="1" customWidth="1"/>
    <col min="4614" max="4614" width="2.140625" style="38" bestFit="1" customWidth="1"/>
    <col min="4615" max="4615" width="16" style="38" bestFit="1" customWidth="1"/>
    <col min="4616" max="4863" width="9.140625" style="38"/>
    <col min="4864" max="4864" width="5.140625" style="38" customWidth="1"/>
    <col min="4865" max="4865" width="3.42578125" style="38" customWidth="1"/>
    <col min="4866" max="4866" width="38.5703125" style="38" bestFit="1" customWidth="1"/>
    <col min="4867" max="4867" width="1.85546875" style="38" customWidth="1"/>
    <col min="4868" max="4868" width="2.42578125" style="38" customWidth="1"/>
    <col min="4869" max="4869" width="14.5703125" style="38" bestFit="1" customWidth="1"/>
    <col min="4870" max="4870" width="2.140625" style="38" bestFit="1" customWidth="1"/>
    <col min="4871" max="4871" width="16" style="38" bestFit="1" customWidth="1"/>
    <col min="4872" max="5119" width="9.140625" style="38"/>
    <col min="5120" max="5120" width="5.140625" style="38" customWidth="1"/>
    <col min="5121" max="5121" width="3.42578125" style="38" customWidth="1"/>
    <col min="5122" max="5122" width="38.5703125" style="38" bestFit="1" customWidth="1"/>
    <col min="5123" max="5123" width="1.85546875" style="38" customWidth="1"/>
    <col min="5124" max="5124" width="2.42578125" style="38" customWidth="1"/>
    <col min="5125" max="5125" width="14.5703125" style="38" bestFit="1" customWidth="1"/>
    <col min="5126" max="5126" width="2.140625" style="38" bestFit="1" customWidth="1"/>
    <col min="5127" max="5127" width="16" style="38" bestFit="1" customWidth="1"/>
    <col min="5128" max="5375" width="9.140625" style="38"/>
    <col min="5376" max="5376" width="5.140625" style="38" customWidth="1"/>
    <col min="5377" max="5377" width="3.42578125" style="38" customWidth="1"/>
    <col min="5378" max="5378" width="38.5703125" style="38" bestFit="1" customWidth="1"/>
    <col min="5379" max="5379" width="1.85546875" style="38" customWidth="1"/>
    <col min="5380" max="5380" width="2.42578125" style="38" customWidth="1"/>
    <col min="5381" max="5381" width="14.5703125" style="38" bestFit="1" customWidth="1"/>
    <col min="5382" max="5382" width="2.140625" style="38" bestFit="1" customWidth="1"/>
    <col min="5383" max="5383" width="16" style="38" bestFit="1" customWidth="1"/>
    <col min="5384" max="5631" width="9.140625" style="38"/>
    <col min="5632" max="5632" width="5.140625" style="38" customWidth="1"/>
    <col min="5633" max="5633" width="3.42578125" style="38" customWidth="1"/>
    <col min="5634" max="5634" width="38.5703125" style="38" bestFit="1" customWidth="1"/>
    <col min="5635" max="5635" width="1.85546875" style="38" customWidth="1"/>
    <col min="5636" max="5636" width="2.42578125" style="38" customWidth="1"/>
    <col min="5637" max="5637" width="14.5703125" style="38" bestFit="1" customWidth="1"/>
    <col min="5638" max="5638" width="2.140625" style="38" bestFit="1" customWidth="1"/>
    <col min="5639" max="5639" width="16" style="38" bestFit="1" customWidth="1"/>
    <col min="5640" max="5887" width="9.140625" style="38"/>
    <col min="5888" max="5888" width="5.140625" style="38" customWidth="1"/>
    <col min="5889" max="5889" width="3.42578125" style="38" customWidth="1"/>
    <col min="5890" max="5890" width="38.5703125" style="38" bestFit="1" customWidth="1"/>
    <col min="5891" max="5891" width="1.85546875" style="38" customWidth="1"/>
    <col min="5892" max="5892" width="2.42578125" style="38" customWidth="1"/>
    <col min="5893" max="5893" width="14.5703125" style="38" bestFit="1" customWidth="1"/>
    <col min="5894" max="5894" width="2.140625" style="38" bestFit="1" customWidth="1"/>
    <col min="5895" max="5895" width="16" style="38" bestFit="1" customWidth="1"/>
    <col min="5896" max="6143" width="9.140625" style="38"/>
    <col min="6144" max="6144" width="5.140625" style="38" customWidth="1"/>
    <col min="6145" max="6145" width="3.42578125" style="38" customWidth="1"/>
    <col min="6146" max="6146" width="38.5703125" style="38" bestFit="1" customWidth="1"/>
    <col min="6147" max="6147" width="1.85546875" style="38" customWidth="1"/>
    <col min="6148" max="6148" width="2.42578125" style="38" customWidth="1"/>
    <col min="6149" max="6149" width="14.5703125" style="38" bestFit="1" customWidth="1"/>
    <col min="6150" max="6150" width="2.140625" style="38" bestFit="1" customWidth="1"/>
    <col min="6151" max="6151" width="16" style="38" bestFit="1" customWidth="1"/>
    <col min="6152" max="6399" width="9.140625" style="38"/>
    <col min="6400" max="6400" width="5.140625" style="38" customWidth="1"/>
    <col min="6401" max="6401" width="3.42578125" style="38" customWidth="1"/>
    <col min="6402" max="6402" width="38.5703125" style="38" bestFit="1" customWidth="1"/>
    <col min="6403" max="6403" width="1.85546875" style="38" customWidth="1"/>
    <col min="6404" max="6404" width="2.42578125" style="38" customWidth="1"/>
    <col min="6405" max="6405" width="14.5703125" style="38" bestFit="1" customWidth="1"/>
    <col min="6406" max="6406" width="2.140625" style="38" bestFit="1" customWidth="1"/>
    <col min="6407" max="6407" width="16" style="38" bestFit="1" customWidth="1"/>
    <col min="6408" max="6655" width="9.140625" style="38"/>
    <col min="6656" max="6656" width="5.140625" style="38" customWidth="1"/>
    <col min="6657" max="6657" width="3.42578125" style="38" customWidth="1"/>
    <col min="6658" max="6658" width="38.5703125" style="38" bestFit="1" customWidth="1"/>
    <col min="6659" max="6659" width="1.85546875" style="38" customWidth="1"/>
    <col min="6660" max="6660" width="2.42578125" style="38" customWidth="1"/>
    <col min="6661" max="6661" width="14.5703125" style="38" bestFit="1" customWidth="1"/>
    <col min="6662" max="6662" width="2.140625" style="38" bestFit="1" customWidth="1"/>
    <col min="6663" max="6663" width="16" style="38" bestFit="1" customWidth="1"/>
    <col min="6664" max="6911" width="9.140625" style="38"/>
    <col min="6912" max="6912" width="5.140625" style="38" customWidth="1"/>
    <col min="6913" max="6913" width="3.42578125" style="38" customWidth="1"/>
    <col min="6914" max="6914" width="38.5703125" style="38" bestFit="1" customWidth="1"/>
    <col min="6915" max="6915" width="1.85546875" style="38" customWidth="1"/>
    <col min="6916" max="6916" width="2.42578125" style="38" customWidth="1"/>
    <col min="6917" max="6917" width="14.5703125" style="38" bestFit="1" customWidth="1"/>
    <col min="6918" max="6918" width="2.140625" style="38" bestFit="1" customWidth="1"/>
    <col min="6919" max="6919" width="16" style="38" bestFit="1" customWidth="1"/>
    <col min="6920" max="7167" width="9.140625" style="38"/>
    <col min="7168" max="7168" width="5.140625" style="38" customWidth="1"/>
    <col min="7169" max="7169" width="3.42578125" style="38" customWidth="1"/>
    <col min="7170" max="7170" width="38.5703125" style="38" bestFit="1" customWidth="1"/>
    <col min="7171" max="7171" width="1.85546875" style="38" customWidth="1"/>
    <col min="7172" max="7172" width="2.42578125" style="38" customWidth="1"/>
    <col min="7173" max="7173" width="14.5703125" style="38" bestFit="1" customWidth="1"/>
    <col min="7174" max="7174" width="2.140625" style="38" bestFit="1" customWidth="1"/>
    <col min="7175" max="7175" width="16" style="38" bestFit="1" customWidth="1"/>
    <col min="7176" max="7423" width="9.140625" style="38"/>
    <col min="7424" max="7424" width="5.140625" style="38" customWidth="1"/>
    <col min="7425" max="7425" width="3.42578125" style="38" customWidth="1"/>
    <col min="7426" max="7426" width="38.5703125" style="38" bestFit="1" customWidth="1"/>
    <col min="7427" max="7427" width="1.85546875" style="38" customWidth="1"/>
    <col min="7428" max="7428" width="2.42578125" style="38" customWidth="1"/>
    <col min="7429" max="7429" width="14.5703125" style="38" bestFit="1" customWidth="1"/>
    <col min="7430" max="7430" width="2.140625" style="38" bestFit="1" customWidth="1"/>
    <col min="7431" max="7431" width="16" style="38" bestFit="1" customWidth="1"/>
    <col min="7432" max="7679" width="9.140625" style="38"/>
    <col min="7680" max="7680" width="5.140625" style="38" customWidth="1"/>
    <col min="7681" max="7681" width="3.42578125" style="38" customWidth="1"/>
    <col min="7682" max="7682" width="38.5703125" style="38" bestFit="1" customWidth="1"/>
    <col min="7683" max="7683" width="1.85546875" style="38" customWidth="1"/>
    <col min="7684" max="7684" width="2.42578125" style="38" customWidth="1"/>
    <col min="7685" max="7685" width="14.5703125" style="38" bestFit="1" customWidth="1"/>
    <col min="7686" max="7686" width="2.140625" style="38" bestFit="1" customWidth="1"/>
    <col min="7687" max="7687" width="16" style="38" bestFit="1" customWidth="1"/>
    <col min="7688" max="7935" width="9.140625" style="38"/>
    <col min="7936" max="7936" width="5.140625" style="38" customWidth="1"/>
    <col min="7937" max="7937" width="3.42578125" style="38" customWidth="1"/>
    <col min="7938" max="7938" width="38.5703125" style="38" bestFit="1" customWidth="1"/>
    <col min="7939" max="7939" width="1.85546875" style="38" customWidth="1"/>
    <col min="7940" max="7940" width="2.42578125" style="38" customWidth="1"/>
    <col min="7941" max="7941" width="14.5703125" style="38" bestFit="1" customWidth="1"/>
    <col min="7942" max="7942" width="2.140625" style="38" bestFit="1" customWidth="1"/>
    <col min="7943" max="7943" width="16" style="38" bestFit="1" customWidth="1"/>
    <col min="7944" max="8191" width="9.140625" style="38"/>
    <col min="8192" max="8192" width="5.140625" style="38" customWidth="1"/>
    <col min="8193" max="8193" width="3.42578125" style="38" customWidth="1"/>
    <col min="8194" max="8194" width="38.5703125" style="38" bestFit="1" customWidth="1"/>
    <col min="8195" max="8195" width="1.85546875" style="38" customWidth="1"/>
    <col min="8196" max="8196" width="2.42578125" style="38" customWidth="1"/>
    <col min="8197" max="8197" width="14.5703125" style="38" bestFit="1" customWidth="1"/>
    <col min="8198" max="8198" width="2.140625" style="38" bestFit="1" customWidth="1"/>
    <col min="8199" max="8199" width="16" style="38" bestFit="1" customWidth="1"/>
    <col min="8200" max="8447" width="9.140625" style="38"/>
    <col min="8448" max="8448" width="5.140625" style="38" customWidth="1"/>
    <col min="8449" max="8449" width="3.42578125" style="38" customWidth="1"/>
    <col min="8450" max="8450" width="38.5703125" style="38" bestFit="1" customWidth="1"/>
    <col min="8451" max="8451" width="1.85546875" style="38" customWidth="1"/>
    <col min="8452" max="8452" width="2.42578125" style="38" customWidth="1"/>
    <col min="8453" max="8453" width="14.5703125" style="38" bestFit="1" customWidth="1"/>
    <col min="8454" max="8454" width="2.140625" style="38" bestFit="1" customWidth="1"/>
    <col min="8455" max="8455" width="16" style="38" bestFit="1" customWidth="1"/>
    <col min="8456" max="8703" width="9.140625" style="38"/>
    <col min="8704" max="8704" width="5.140625" style="38" customWidth="1"/>
    <col min="8705" max="8705" width="3.42578125" style="38" customWidth="1"/>
    <col min="8706" max="8706" width="38.5703125" style="38" bestFit="1" customWidth="1"/>
    <col min="8707" max="8707" width="1.85546875" style="38" customWidth="1"/>
    <col min="8708" max="8708" width="2.42578125" style="38" customWidth="1"/>
    <col min="8709" max="8709" width="14.5703125" style="38" bestFit="1" customWidth="1"/>
    <col min="8710" max="8710" width="2.140625" style="38" bestFit="1" customWidth="1"/>
    <col min="8711" max="8711" width="16" style="38" bestFit="1" customWidth="1"/>
    <col min="8712" max="8959" width="9.140625" style="38"/>
    <col min="8960" max="8960" width="5.140625" style="38" customWidth="1"/>
    <col min="8961" max="8961" width="3.42578125" style="38" customWidth="1"/>
    <col min="8962" max="8962" width="38.5703125" style="38" bestFit="1" customWidth="1"/>
    <col min="8963" max="8963" width="1.85546875" style="38" customWidth="1"/>
    <col min="8964" max="8964" width="2.42578125" style="38" customWidth="1"/>
    <col min="8965" max="8965" width="14.5703125" style="38" bestFit="1" customWidth="1"/>
    <col min="8966" max="8966" width="2.140625" style="38" bestFit="1" customWidth="1"/>
    <col min="8967" max="8967" width="16" style="38" bestFit="1" customWidth="1"/>
    <col min="8968" max="9215" width="9.140625" style="38"/>
    <col min="9216" max="9216" width="5.140625" style="38" customWidth="1"/>
    <col min="9217" max="9217" width="3.42578125" style="38" customWidth="1"/>
    <col min="9218" max="9218" width="38.5703125" style="38" bestFit="1" customWidth="1"/>
    <col min="9219" max="9219" width="1.85546875" style="38" customWidth="1"/>
    <col min="9220" max="9220" width="2.42578125" style="38" customWidth="1"/>
    <col min="9221" max="9221" width="14.5703125" style="38" bestFit="1" customWidth="1"/>
    <col min="9222" max="9222" width="2.140625" style="38" bestFit="1" customWidth="1"/>
    <col min="9223" max="9223" width="16" style="38" bestFit="1" customWidth="1"/>
    <col min="9224" max="9471" width="9.140625" style="38"/>
    <col min="9472" max="9472" width="5.140625" style="38" customWidth="1"/>
    <col min="9473" max="9473" width="3.42578125" style="38" customWidth="1"/>
    <col min="9474" max="9474" width="38.5703125" style="38" bestFit="1" customWidth="1"/>
    <col min="9475" max="9475" width="1.85546875" style="38" customWidth="1"/>
    <col min="9476" max="9476" width="2.42578125" style="38" customWidth="1"/>
    <col min="9477" max="9477" width="14.5703125" style="38" bestFit="1" customWidth="1"/>
    <col min="9478" max="9478" width="2.140625" style="38" bestFit="1" customWidth="1"/>
    <col min="9479" max="9479" width="16" style="38" bestFit="1" customWidth="1"/>
    <col min="9480" max="9727" width="9.140625" style="38"/>
    <col min="9728" max="9728" width="5.140625" style="38" customWidth="1"/>
    <col min="9729" max="9729" width="3.42578125" style="38" customWidth="1"/>
    <col min="9730" max="9730" width="38.5703125" style="38" bestFit="1" customWidth="1"/>
    <col min="9731" max="9731" width="1.85546875" style="38" customWidth="1"/>
    <col min="9732" max="9732" width="2.42578125" style="38" customWidth="1"/>
    <col min="9733" max="9733" width="14.5703125" style="38" bestFit="1" customWidth="1"/>
    <col min="9734" max="9734" width="2.140625" style="38" bestFit="1" customWidth="1"/>
    <col min="9735" max="9735" width="16" style="38" bestFit="1" customWidth="1"/>
    <col min="9736" max="9983" width="9.140625" style="38"/>
    <col min="9984" max="9984" width="5.140625" style="38" customWidth="1"/>
    <col min="9985" max="9985" width="3.42578125" style="38" customWidth="1"/>
    <col min="9986" max="9986" width="38.5703125" style="38" bestFit="1" customWidth="1"/>
    <col min="9987" max="9987" width="1.85546875" style="38" customWidth="1"/>
    <col min="9988" max="9988" width="2.42578125" style="38" customWidth="1"/>
    <col min="9989" max="9989" width="14.5703125" style="38" bestFit="1" customWidth="1"/>
    <col min="9990" max="9990" width="2.140625" style="38" bestFit="1" customWidth="1"/>
    <col min="9991" max="9991" width="16" style="38" bestFit="1" customWidth="1"/>
    <col min="9992" max="10239" width="9.140625" style="38"/>
    <col min="10240" max="10240" width="5.140625" style="38" customWidth="1"/>
    <col min="10241" max="10241" width="3.42578125" style="38" customWidth="1"/>
    <col min="10242" max="10242" width="38.5703125" style="38" bestFit="1" customWidth="1"/>
    <col min="10243" max="10243" width="1.85546875" style="38" customWidth="1"/>
    <col min="10244" max="10244" width="2.42578125" style="38" customWidth="1"/>
    <col min="10245" max="10245" width="14.5703125" style="38" bestFit="1" customWidth="1"/>
    <col min="10246" max="10246" width="2.140625" style="38" bestFit="1" customWidth="1"/>
    <col min="10247" max="10247" width="16" style="38" bestFit="1" customWidth="1"/>
    <col min="10248" max="10495" width="9.140625" style="38"/>
    <col min="10496" max="10496" width="5.140625" style="38" customWidth="1"/>
    <col min="10497" max="10497" width="3.42578125" style="38" customWidth="1"/>
    <col min="10498" max="10498" width="38.5703125" style="38" bestFit="1" customWidth="1"/>
    <col min="10499" max="10499" width="1.85546875" style="38" customWidth="1"/>
    <col min="10500" max="10500" width="2.42578125" style="38" customWidth="1"/>
    <col min="10501" max="10501" width="14.5703125" style="38" bestFit="1" customWidth="1"/>
    <col min="10502" max="10502" width="2.140625" style="38" bestFit="1" customWidth="1"/>
    <col min="10503" max="10503" width="16" style="38" bestFit="1" customWidth="1"/>
    <col min="10504" max="10751" width="9.140625" style="38"/>
    <col min="10752" max="10752" width="5.140625" style="38" customWidth="1"/>
    <col min="10753" max="10753" width="3.42578125" style="38" customWidth="1"/>
    <col min="10754" max="10754" width="38.5703125" style="38" bestFit="1" customWidth="1"/>
    <col min="10755" max="10755" width="1.85546875" style="38" customWidth="1"/>
    <col min="10756" max="10756" width="2.42578125" style="38" customWidth="1"/>
    <col min="10757" max="10757" width="14.5703125" style="38" bestFit="1" customWidth="1"/>
    <col min="10758" max="10758" width="2.140625" style="38" bestFit="1" customWidth="1"/>
    <col min="10759" max="10759" width="16" style="38" bestFit="1" customWidth="1"/>
    <col min="10760" max="11007" width="9.140625" style="38"/>
    <col min="11008" max="11008" width="5.140625" style="38" customWidth="1"/>
    <col min="11009" max="11009" width="3.42578125" style="38" customWidth="1"/>
    <col min="11010" max="11010" width="38.5703125" style="38" bestFit="1" customWidth="1"/>
    <col min="11011" max="11011" width="1.85546875" style="38" customWidth="1"/>
    <col min="11012" max="11012" width="2.42578125" style="38" customWidth="1"/>
    <col min="11013" max="11013" width="14.5703125" style="38" bestFit="1" customWidth="1"/>
    <col min="11014" max="11014" width="2.140625" style="38" bestFit="1" customWidth="1"/>
    <col min="11015" max="11015" width="16" style="38" bestFit="1" customWidth="1"/>
    <col min="11016" max="11263" width="9.140625" style="38"/>
    <col min="11264" max="11264" width="5.140625" style="38" customWidth="1"/>
    <col min="11265" max="11265" width="3.42578125" style="38" customWidth="1"/>
    <col min="11266" max="11266" width="38.5703125" style="38" bestFit="1" customWidth="1"/>
    <col min="11267" max="11267" width="1.85546875" style="38" customWidth="1"/>
    <col min="11268" max="11268" width="2.42578125" style="38" customWidth="1"/>
    <col min="11269" max="11269" width="14.5703125" style="38" bestFit="1" customWidth="1"/>
    <col min="11270" max="11270" width="2.140625" style="38" bestFit="1" customWidth="1"/>
    <col min="11271" max="11271" width="16" style="38" bestFit="1" customWidth="1"/>
    <col min="11272" max="11519" width="9.140625" style="38"/>
    <col min="11520" max="11520" width="5.140625" style="38" customWidth="1"/>
    <col min="11521" max="11521" width="3.42578125" style="38" customWidth="1"/>
    <col min="11522" max="11522" width="38.5703125" style="38" bestFit="1" customWidth="1"/>
    <col min="11523" max="11523" width="1.85546875" style="38" customWidth="1"/>
    <col min="11524" max="11524" width="2.42578125" style="38" customWidth="1"/>
    <col min="11525" max="11525" width="14.5703125" style="38" bestFit="1" customWidth="1"/>
    <col min="11526" max="11526" width="2.140625" style="38" bestFit="1" customWidth="1"/>
    <col min="11527" max="11527" width="16" style="38" bestFit="1" customWidth="1"/>
    <col min="11528" max="11775" width="9.140625" style="38"/>
    <col min="11776" max="11776" width="5.140625" style="38" customWidth="1"/>
    <col min="11777" max="11777" width="3.42578125" style="38" customWidth="1"/>
    <col min="11778" max="11778" width="38.5703125" style="38" bestFit="1" customWidth="1"/>
    <col min="11779" max="11779" width="1.85546875" style="38" customWidth="1"/>
    <col min="11780" max="11780" width="2.42578125" style="38" customWidth="1"/>
    <col min="11781" max="11781" width="14.5703125" style="38" bestFit="1" customWidth="1"/>
    <col min="11782" max="11782" width="2.140625" style="38" bestFit="1" customWidth="1"/>
    <col min="11783" max="11783" width="16" style="38" bestFit="1" customWidth="1"/>
    <col min="11784" max="12031" width="9.140625" style="38"/>
    <col min="12032" max="12032" width="5.140625" style="38" customWidth="1"/>
    <col min="12033" max="12033" width="3.42578125" style="38" customWidth="1"/>
    <col min="12034" max="12034" width="38.5703125" style="38" bestFit="1" customWidth="1"/>
    <col min="12035" max="12035" width="1.85546875" style="38" customWidth="1"/>
    <col min="12036" max="12036" width="2.42578125" style="38" customWidth="1"/>
    <col min="12037" max="12037" width="14.5703125" style="38" bestFit="1" customWidth="1"/>
    <col min="12038" max="12038" width="2.140625" style="38" bestFit="1" customWidth="1"/>
    <col min="12039" max="12039" width="16" style="38" bestFit="1" customWidth="1"/>
    <col min="12040" max="12287" width="9.140625" style="38"/>
    <col min="12288" max="12288" width="5.140625" style="38" customWidth="1"/>
    <col min="12289" max="12289" width="3.42578125" style="38" customWidth="1"/>
    <col min="12290" max="12290" width="38.5703125" style="38" bestFit="1" customWidth="1"/>
    <col min="12291" max="12291" width="1.85546875" style="38" customWidth="1"/>
    <col min="12292" max="12292" width="2.42578125" style="38" customWidth="1"/>
    <col min="12293" max="12293" width="14.5703125" style="38" bestFit="1" customWidth="1"/>
    <col min="12294" max="12294" width="2.140625" style="38" bestFit="1" customWidth="1"/>
    <col min="12295" max="12295" width="16" style="38" bestFit="1" customWidth="1"/>
    <col min="12296" max="12543" width="9.140625" style="38"/>
    <col min="12544" max="12544" width="5.140625" style="38" customWidth="1"/>
    <col min="12545" max="12545" width="3.42578125" style="38" customWidth="1"/>
    <col min="12546" max="12546" width="38.5703125" style="38" bestFit="1" customWidth="1"/>
    <col min="12547" max="12547" width="1.85546875" style="38" customWidth="1"/>
    <col min="12548" max="12548" width="2.42578125" style="38" customWidth="1"/>
    <col min="12549" max="12549" width="14.5703125" style="38" bestFit="1" customWidth="1"/>
    <col min="12550" max="12550" width="2.140625" style="38" bestFit="1" customWidth="1"/>
    <col min="12551" max="12551" width="16" style="38" bestFit="1" customWidth="1"/>
    <col min="12552" max="12799" width="9.140625" style="38"/>
    <col min="12800" max="12800" width="5.140625" style="38" customWidth="1"/>
    <col min="12801" max="12801" width="3.42578125" style="38" customWidth="1"/>
    <col min="12802" max="12802" width="38.5703125" style="38" bestFit="1" customWidth="1"/>
    <col min="12803" max="12803" width="1.85546875" style="38" customWidth="1"/>
    <col min="12804" max="12804" width="2.42578125" style="38" customWidth="1"/>
    <col min="12805" max="12805" width="14.5703125" style="38" bestFit="1" customWidth="1"/>
    <col min="12806" max="12806" width="2.140625" style="38" bestFit="1" customWidth="1"/>
    <col min="12807" max="12807" width="16" style="38" bestFit="1" customWidth="1"/>
    <col min="12808" max="13055" width="9.140625" style="38"/>
    <col min="13056" max="13056" width="5.140625" style="38" customWidth="1"/>
    <col min="13057" max="13057" width="3.42578125" style="38" customWidth="1"/>
    <col min="13058" max="13058" width="38.5703125" style="38" bestFit="1" customWidth="1"/>
    <col min="13059" max="13059" width="1.85546875" style="38" customWidth="1"/>
    <col min="13060" max="13060" width="2.42578125" style="38" customWidth="1"/>
    <col min="13061" max="13061" width="14.5703125" style="38" bestFit="1" customWidth="1"/>
    <col min="13062" max="13062" width="2.140625" style="38" bestFit="1" customWidth="1"/>
    <col min="13063" max="13063" width="16" style="38" bestFit="1" customWidth="1"/>
    <col min="13064" max="13311" width="9.140625" style="38"/>
    <col min="13312" max="13312" width="5.140625" style="38" customWidth="1"/>
    <col min="13313" max="13313" width="3.42578125" style="38" customWidth="1"/>
    <col min="13314" max="13314" width="38.5703125" style="38" bestFit="1" customWidth="1"/>
    <col min="13315" max="13315" width="1.85546875" style="38" customWidth="1"/>
    <col min="13316" max="13316" width="2.42578125" style="38" customWidth="1"/>
    <col min="13317" max="13317" width="14.5703125" style="38" bestFit="1" customWidth="1"/>
    <col min="13318" max="13318" width="2.140625" style="38" bestFit="1" customWidth="1"/>
    <col min="13319" max="13319" width="16" style="38" bestFit="1" customWidth="1"/>
    <col min="13320" max="13567" width="9.140625" style="38"/>
    <col min="13568" max="13568" width="5.140625" style="38" customWidth="1"/>
    <col min="13569" max="13569" width="3.42578125" style="38" customWidth="1"/>
    <col min="13570" max="13570" width="38.5703125" style="38" bestFit="1" customWidth="1"/>
    <col min="13571" max="13571" width="1.85546875" style="38" customWidth="1"/>
    <col min="13572" max="13572" width="2.42578125" style="38" customWidth="1"/>
    <col min="13573" max="13573" width="14.5703125" style="38" bestFit="1" customWidth="1"/>
    <col min="13574" max="13574" width="2.140625" style="38" bestFit="1" customWidth="1"/>
    <col min="13575" max="13575" width="16" style="38" bestFit="1" customWidth="1"/>
    <col min="13576" max="13823" width="9.140625" style="38"/>
    <col min="13824" max="13824" width="5.140625" style="38" customWidth="1"/>
    <col min="13825" max="13825" width="3.42578125" style="38" customWidth="1"/>
    <col min="13826" max="13826" width="38.5703125" style="38" bestFit="1" customWidth="1"/>
    <col min="13827" max="13827" width="1.85546875" style="38" customWidth="1"/>
    <col min="13828" max="13828" width="2.42578125" style="38" customWidth="1"/>
    <col min="13829" max="13829" width="14.5703125" style="38" bestFit="1" customWidth="1"/>
    <col min="13830" max="13830" width="2.140625" style="38" bestFit="1" customWidth="1"/>
    <col min="13831" max="13831" width="16" style="38" bestFit="1" customWidth="1"/>
    <col min="13832" max="14079" width="9.140625" style="38"/>
    <col min="14080" max="14080" width="5.140625" style="38" customWidth="1"/>
    <col min="14081" max="14081" width="3.42578125" style="38" customWidth="1"/>
    <col min="14082" max="14082" width="38.5703125" style="38" bestFit="1" customWidth="1"/>
    <col min="14083" max="14083" width="1.85546875" style="38" customWidth="1"/>
    <col min="14084" max="14084" width="2.42578125" style="38" customWidth="1"/>
    <col min="14085" max="14085" width="14.5703125" style="38" bestFit="1" customWidth="1"/>
    <col min="14086" max="14086" width="2.140625" style="38" bestFit="1" customWidth="1"/>
    <col min="14087" max="14087" width="16" style="38" bestFit="1" customWidth="1"/>
    <col min="14088" max="14335" width="9.140625" style="38"/>
    <col min="14336" max="14336" width="5.140625" style="38" customWidth="1"/>
    <col min="14337" max="14337" width="3.42578125" style="38" customWidth="1"/>
    <col min="14338" max="14338" width="38.5703125" style="38" bestFit="1" customWidth="1"/>
    <col min="14339" max="14339" width="1.85546875" style="38" customWidth="1"/>
    <col min="14340" max="14340" width="2.42578125" style="38" customWidth="1"/>
    <col min="14341" max="14341" width="14.5703125" style="38" bestFit="1" customWidth="1"/>
    <col min="14342" max="14342" width="2.140625" style="38" bestFit="1" customWidth="1"/>
    <col min="14343" max="14343" width="16" style="38" bestFit="1" customWidth="1"/>
    <col min="14344" max="14591" width="9.140625" style="38"/>
    <col min="14592" max="14592" width="5.140625" style="38" customWidth="1"/>
    <col min="14593" max="14593" width="3.42578125" style="38" customWidth="1"/>
    <col min="14594" max="14594" width="38.5703125" style="38" bestFit="1" customWidth="1"/>
    <col min="14595" max="14595" width="1.85546875" style="38" customWidth="1"/>
    <col min="14596" max="14596" width="2.42578125" style="38" customWidth="1"/>
    <col min="14597" max="14597" width="14.5703125" style="38" bestFit="1" customWidth="1"/>
    <col min="14598" max="14598" width="2.140625" style="38" bestFit="1" customWidth="1"/>
    <col min="14599" max="14599" width="16" style="38" bestFit="1" customWidth="1"/>
    <col min="14600" max="14847" width="9.140625" style="38"/>
    <col min="14848" max="14848" width="5.140625" style="38" customWidth="1"/>
    <col min="14849" max="14849" width="3.42578125" style="38" customWidth="1"/>
    <col min="14850" max="14850" width="38.5703125" style="38" bestFit="1" customWidth="1"/>
    <col min="14851" max="14851" width="1.85546875" style="38" customWidth="1"/>
    <col min="14852" max="14852" width="2.42578125" style="38" customWidth="1"/>
    <col min="14853" max="14853" width="14.5703125" style="38" bestFit="1" customWidth="1"/>
    <col min="14854" max="14854" width="2.140625" style="38" bestFit="1" customWidth="1"/>
    <col min="14855" max="14855" width="16" style="38" bestFit="1" customWidth="1"/>
    <col min="14856" max="15103" width="9.140625" style="38"/>
    <col min="15104" max="15104" width="5.140625" style="38" customWidth="1"/>
    <col min="15105" max="15105" width="3.42578125" style="38" customWidth="1"/>
    <col min="15106" max="15106" width="38.5703125" style="38" bestFit="1" customWidth="1"/>
    <col min="15107" max="15107" width="1.85546875" style="38" customWidth="1"/>
    <col min="15108" max="15108" width="2.42578125" style="38" customWidth="1"/>
    <col min="15109" max="15109" width="14.5703125" style="38" bestFit="1" customWidth="1"/>
    <col min="15110" max="15110" width="2.140625" style="38" bestFit="1" customWidth="1"/>
    <col min="15111" max="15111" width="16" style="38" bestFit="1" customWidth="1"/>
    <col min="15112" max="15359" width="9.140625" style="38"/>
    <col min="15360" max="15360" width="5.140625" style="38" customWidth="1"/>
    <col min="15361" max="15361" width="3.42578125" style="38" customWidth="1"/>
    <col min="15362" max="15362" width="38.5703125" style="38" bestFit="1" customWidth="1"/>
    <col min="15363" max="15363" width="1.85546875" style="38" customWidth="1"/>
    <col min="15364" max="15364" width="2.42578125" style="38" customWidth="1"/>
    <col min="15365" max="15365" width="14.5703125" style="38" bestFit="1" customWidth="1"/>
    <col min="15366" max="15366" width="2.140625" style="38" bestFit="1" customWidth="1"/>
    <col min="15367" max="15367" width="16" style="38" bestFit="1" customWidth="1"/>
    <col min="15368" max="15615" width="9.140625" style="38"/>
    <col min="15616" max="15616" width="5.140625" style="38" customWidth="1"/>
    <col min="15617" max="15617" width="3.42578125" style="38" customWidth="1"/>
    <col min="15618" max="15618" width="38.5703125" style="38" bestFit="1" customWidth="1"/>
    <col min="15619" max="15619" width="1.85546875" style="38" customWidth="1"/>
    <col min="15620" max="15620" width="2.42578125" style="38" customWidth="1"/>
    <col min="15621" max="15621" width="14.5703125" style="38" bestFit="1" customWidth="1"/>
    <col min="15622" max="15622" width="2.140625" style="38" bestFit="1" customWidth="1"/>
    <col min="15623" max="15623" width="16" style="38" bestFit="1" customWidth="1"/>
    <col min="15624" max="15871" width="9.140625" style="38"/>
    <col min="15872" max="15872" width="5.140625" style="38" customWidth="1"/>
    <col min="15873" max="15873" width="3.42578125" style="38" customWidth="1"/>
    <col min="15874" max="15874" width="38.5703125" style="38" bestFit="1" customWidth="1"/>
    <col min="15875" max="15875" width="1.85546875" style="38" customWidth="1"/>
    <col min="15876" max="15876" width="2.42578125" style="38" customWidth="1"/>
    <col min="15877" max="15877" width="14.5703125" style="38" bestFit="1" customWidth="1"/>
    <col min="15878" max="15878" width="2.140625" style="38" bestFit="1" customWidth="1"/>
    <col min="15879" max="15879" width="16" style="38" bestFit="1" customWidth="1"/>
    <col min="15880" max="16127" width="9.140625" style="38"/>
    <col min="16128" max="16128" width="5.140625" style="38" customWidth="1"/>
    <col min="16129" max="16129" width="3.42578125" style="38" customWidth="1"/>
    <col min="16130" max="16130" width="38.5703125" style="38" bestFit="1" customWidth="1"/>
    <col min="16131" max="16131" width="1.85546875" style="38" customWidth="1"/>
    <col min="16132" max="16132" width="2.42578125" style="38" customWidth="1"/>
    <col min="16133" max="16133" width="14.5703125" style="38" bestFit="1" customWidth="1"/>
    <col min="16134" max="16134" width="2.140625" style="38" bestFit="1" customWidth="1"/>
    <col min="16135" max="16135" width="16" style="38" bestFit="1" customWidth="1"/>
    <col min="16136" max="16384" width="9.140625" style="38"/>
  </cols>
  <sheetData>
    <row r="1" spans="1:8" ht="16.5" customHeight="1" x14ac:dyDescent="0.3">
      <c r="A1" s="539" t="s">
        <v>0</v>
      </c>
      <c r="B1" s="539"/>
      <c r="C1" s="539"/>
      <c r="D1" s="539"/>
      <c r="E1" s="539"/>
      <c r="F1" s="539"/>
      <c r="G1" s="539"/>
      <c r="H1" s="539"/>
    </row>
    <row r="2" spans="1:8" x14ac:dyDescent="0.3">
      <c r="A2" s="526" t="s">
        <v>1</v>
      </c>
      <c r="B2" s="526"/>
      <c r="C2" s="526"/>
      <c r="D2" s="526"/>
      <c r="E2" s="526"/>
      <c r="F2" s="526"/>
      <c r="G2" s="526"/>
      <c r="H2" s="526"/>
    </row>
    <row r="3" spans="1:8" x14ac:dyDescent="0.3">
      <c r="A3" s="527" t="s">
        <v>441</v>
      </c>
      <c r="B3" s="527"/>
      <c r="C3" s="527"/>
      <c r="D3" s="527"/>
      <c r="E3" s="527"/>
      <c r="F3" s="527"/>
      <c r="G3" s="527"/>
      <c r="H3" s="527"/>
    </row>
    <row r="4" spans="1:8" ht="16.5" customHeight="1" x14ac:dyDescent="0.3">
      <c r="A4" s="539" t="str">
        <f>'tb control'!A4:E4</f>
        <v>Fund Cluster 1</v>
      </c>
      <c r="B4" s="539"/>
      <c r="C4" s="539"/>
      <c r="D4" s="539"/>
      <c r="E4" s="539"/>
      <c r="F4" s="539"/>
      <c r="G4" s="539"/>
      <c r="H4" s="539"/>
    </row>
    <row r="5" spans="1:8" x14ac:dyDescent="0.3">
      <c r="A5" s="529" t="str">
        <f>'tb control'!A5:E5</f>
        <v>As at December 31, 2024</v>
      </c>
      <c r="B5" s="529"/>
      <c r="C5" s="529"/>
      <c r="D5" s="529"/>
      <c r="E5" s="529"/>
      <c r="F5" s="529"/>
      <c r="G5" s="529"/>
      <c r="H5" s="529"/>
    </row>
    <row r="6" spans="1:8" x14ac:dyDescent="0.3">
      <c r="A6" s="314"/>
      <c r="B6" s="314"/>
      <c r="C6" s="314"/>
      <c r="D6" s="277"/>
      <c r="E6" s="9"/>
      <c r="F6" s="315"/>
      <c r="G6" s="315"/>
    </row>
    <row r="7" spans="1:8" ht="33" x14ac:dyDescent="0.3">
      <c r="A7" s="314"/>
      <c r="B7" s="314"/>
      <c r="C7" s="314"/>
      <c r="D7" s="524" t="s">
        <v>424</v>
      </c>
      <c r="E7" s="11"/>
      <c r="F7" s="316" t="s">
        <v>515</v>
      </c>
      <c r="G7" s="315"/>
      <c r="H7" s="264" t="s">
        <v>523</v>
      </c>
    </row>
    <row r="8" spans="1:8" x14ac:dyDescent="0.3">
      <c r="A8" s="13" t="s">
        <v>254</v>
      </c>
      <c r="B8" s="14"/>
      <c r="D8" s="47"/>
      <c r="E8" s="2"/>
      <c r="F8" s="317"/>
      <c r="G8" s="317"/>
    </row>
    <row r="9" spans="1:8" x14ac:dyDescent="0.3">
      <c r="A9" s="13"/>
      <c r="B9" s="18" t="s">
        <v>201</v>
      </c>
      <c r="D9" s="30" t="s">
        <v>438</v>
      </c>
      <c r="E9" s="2" t="s">
        <v>182</v>
      </c>
      <c r="F9" s="317">
        <f>FC1DIS!I18</f>
        <v>337600</v>
      </c>
      <c r="G9" s="261" t="s">
        <v>182</v>
      </c>
      <c r="H9" s="37">
        <f>FC1DIS!N18</f>
        <v>409600</v>
      </c>
    </row>
    <row r="10" spans="1:8" x14ac:dyDescent="0.3">
      <c r="A10" s="13"/>
      <c r="B10" s="18" t="s">
        <v>328</v>
      </c>
      <c r="D10" s="30" t="s">
        <v>439</v>
      </c>
      <c r="E10" s="2"/>
      <c r="F10" s="317">
        <f>FC1DIS!I23</f>
        <v>95000</v>
      </c>
      <c r="G10" s="317"/>
      <c r="H10" s="37">
        <f>FC1DIS!N23</f>
        <v>3853570.04</v>
      </c>
    </row>
    <row r="11" spans="1:8" hidden="1" x14ac:dyDescent="0.3">
      <c r="A11" s="13"/>
      <c r="B11" s="18" t="s">
        <v>205</v>
      </c>
      <c r="D11" s="30" t="s">
        <v>440</v>
      </c>
      <c r="E11" s="2"/>
      <c r="F11" s="317">
        <f>FC1DIS!I29</f>
        <v>0</v>
      </c>
      <c r="G11" s="317">
        <f>FC1DIS!J29</f>
        <v>0</v>
      </c>
      <c r="H11" s="317">
        <f>FC1DIS!N29</f>
        <v>0</v>
      </c>
    </row>
    <row r="12" spans="1:8" x14ac:dyDescent="0.3">
      <c r="A12" s="13"/>
      <c r="D12" s="47"/>
      <c r="E12" s="2"/>
      <c r="F12" s="317"/>
      <c r="G12" s="317"/>
    </row>
    <row r="13" spans="1:8" x14ac:dyDescent="0.3">
      <c r="A13" s="13"/>
      <c r="B13" s="18" t="s">
        <v>335</v>
      </c>
      <c r="D13" s="47"/>
      <c r="E13" s="2"/>
      <c r="F13" s="318">
        <f>SUM(F9:F11)</f>
        <v>432600</v>
      </c>
      <c r="G13" s="319"/>
      <c r="H13" s="318">
        <f>SUM(H9:H11)</f>
        <v>4263170.04</v>
      </c>
    </row>
    <row r="14" spans="1:8" x14ac:dyDescent="0.3">
      <c r="B14" s="14"/>
      <c r="D14" s="47"/>
      <c r="E14" s="2"/>
      <c r="F14" s="317"/>
      <c r="G14" s="317"/>
      <c r="H14" s="37">
        <f>H13-FC1DIS!N31</f>
        <v>0</v>
      </c>
    </row>
    <row r="15" spans="1:8" x14ac:dyDescent="0.3">
      <c r="A15" s="13" t="s">
        <v>255</v>
      </c>
      <c r="B15" s="14"/>
      <c r="D15" s="47"/>
      <c r="E15" s="2"/>
      <c r="F15" s="317"/>
      <c r="G15" s="317"/>
    </row>
    <row r="16" spans="1:8" ht="15.75" customHeight="1" x14ac:dyDescent="0.3">
      <c r="B16" s="18" t="s">
        <v>199</v>
      </c>
      <c r="C16" s="18"/>
      <c r="D16" s="30" t="s">
        <v>446</v>
      </c>
      <c r="E16" s="18"/>
      <c r="F16" s="317">
        <f>FC1DIS!I92</f>
        <v>885235490.80000007</v>
      </c>
      <c r="G16" s="317"/>
      <c r="H16" s="37">
        <f>FC1DIS!N92</f>
        <v>651123908.04999995</v>
      </c>
    </row>
    <row r="17" spans="1:11" x14ac:dyDescent="0.3">
      <c r="B17" s="18" t="s">
        <v>200</v>
      </c>
      <c r="C17" s="18"/>
      <c r="D17" s="30" t="s">
        <v>510</v>
      </c>
      <c r="E17" s="2"/>
      <c r="F17" s="317">
        <f>FC1DIS!I201</f>
        <v>925869763.54999995</v>
      </c>
      <c r="G17" s="317"/>
      <c r="H17" s="37">
        <f>FC1DIS!N201</f>
        <v>1528731935.4591665</v>
      </c>
    </row>
    <row r="18" spans="1:11" ht="19.5" customHeight="1" x14ac:dyDescent="0.3">
      <c r="B18" s="18" t="s">
        <v>323</v>
      </c>
      <c r="C18" s="18"/>
      <c r="D18" s="47"/>
      <c r="E18" s="2"/>
      <c r="F18" s="317">
        <f>FC1DIS!I206</f>
        <v>200</v>
      </c>
      <c r="G18" s="317"/>
      <c r="H18" s="37">
        <f>FC1DIS!N206</f>
        <v>0</v>
      </c>
    </row>
    <row r="19" spans="1:11" x14ac:dyDescent="0.3">
      <c r="B19" s="18" t="s">
        <v>206</v>
      </c>
      <c r="C19" s="18"/>
      <c r="D19" s="30" t="s">
        <v>511</v>
      </c>
      <c r="E19" s="2"/>
      <c r="F19" s="317">
        <f>FC1DIS!I249</f>
        <v>19684137.520000003</v>
      </c>
      <c r="G19" s="317"/>
      <c r="H19" s="37">
        <f>FC1DIS!N249</f>
        <v>18399112.689999998</v>
      </c>
    </row>
    <row r="20" spans="1:11" hidden="1" x14ac:dyDescent="0.3">
      <c r="B20" s="18" t="s">
        <v>465</v>
      </c>
      <c r="C20" s="18"/>
      <c r="D20" s="47"/>
      <c r="E20" s="2"/>
      <c r="F20" s="317">
        <f>FC1DIS!I237</f>
        <v>0</v>
      </c>
      <c r="G20" s="317"/>
      <c r="H20" s="37">
        <f>FC1DIS!N237</f>
        <v>0</v>
      </c>
    </row>
    <row r="21" spans="1:11" x14ac:dyDescent="0.3">
      <c r="B21" s="18" t="s">
        <v>336</v>
      </c>
      <c r="C21" s="18"/>
      <c r="D21" s="47"/>
      <c r="E21" s="2"/>
      <c r="F21" s="318">
        <f>SUM(F16:F20)</f>
        <v>1830789591.8699999</v>
      </c>
      <c r="G21" s="317"/>
      <c r="H21" s="318">
        <f>SUM(H16:H20)</f>
        <v>2198254956.1991668</v>
      </c>
    </row>
    <row r="22" spans="1:11" x14ac:dyDescent="0.3">
      <c r="B22" s="14"/>
      <c r="D22" s="47"/>
      <c r="E22" s="2"/>
      <c r="F22" s="317"/>
      <c r="G22" s="317"/>
    </row>
    <row r="23" spans="1:11" x14ac:dyDescent="0.3">
      <c r="A23" s="13" t="s">
        <v>259</v>
      </c>
      <c r="B23" s="14"/>
      <c r="D23" s="47"/>
      <c r="E23" s="2"/>
      <c r="F23" s="317">
        <f>F13-F21</f>
        <v>-1830356991.8699999</v>
      </c>
      <c r="G23" s="317">
        <f t="shared" ref="G23" si="0">G13-G21</f>
        <v>0</v>
      </c>
      <c r="H23" s="317">
        <f>H13-H21</f>
        <v>-2193991786.1591668</v>
      </c>
    </row>
    <row r="24" spans="1:11" x14ac:dyDescent="0.3">
      <c r="B24" s="14"/>
      <c r="D24" s="47"/>
      <c r="E24" s="2"/>
      <c r="F24" s="320"/>
      <c r="G24" s="317"/>
    </row>
    <row r="25" spans="1:11" x14ac:dyDescent="0.3">
      <c r="B25" s="18" t="s">
        <v>337</v>
      </c>
      <c r="D25" s="30" t="s">
        <v>512</v>
      </c>
      <c r="F25" s="321">
        <f>FC1DIS!I272</f>
        <v>2617338868.8200016</v>
      </c>
      <c r="G25" s="321"/>
      <c r="H25" s="261">
        <f>FC1DIS!N272</f>
        <v>2177382975.6199989</v>
      </c>
    </row>
    <row r="26" spans="1:11" x14ac:dyDescent="0.3">
      <c r="A26" s="32" t="s">
        <v>519</v>
      </c>
      <c r="D26" s="30" t="s">
        <v>567</v>
      </c>
      <c r="F26" s="321"/>
      <c r="G26" s="321"/>
      <c r="H26" s="261"/>
    </row>
    <row r="27" spans="1:11" x14ac:dyDescent="0.3">
      <c r="B27" s="38" t="s">
        <v>520</v>
      </c>
      <c r="D27" s="30" t="s">
        <v>569</v>
      </c>
      <c r="F27" s="321">
        <f>FC1DIS!I277</f>
        <v>200</v>
      </c>
      <c r="G27" s="321"/>
      <c r="H27" s="261">
        <f>FC1DIS!N276</f>
        <v>0</v>
      </c>
    </row>
    <row r="28" spans="1:11" x14ac:dyDescent="0.3">
      <c r="A28" s="13"/>
      <c r="B28" s="18" t="str">
        <f>FC1DIS!C279</f>
        <v>Losses</v>
      </c>
      <c r="D28" s="30" t="s">
        <v>568</v>
      </c>
      <c r="E28" s="2"/>
      <c r="F28" s="317">
        <f>FC1DIS!I280</f>
        <v>368530.6</v>
      </c>
      <c r="G28" s="317"/>
      <c r="H28" s="37">
        <f>FC1DIS!N280</f>
        <v>0</v>
      </c>
    </row>
    <row r="29" spans="1:11" s="53" customFormat="1" ht="17.25" thickBot="1" x14ac:dyDescent="0.35">
      <c r="A29" s="13" t="s">
        <v>338</v>
      </c>
      <c r="B29" s="32"/>
      <c r="C29" s="47"/>
      <c r="D29" s="47"/>
      <c r="E29" s="47" t="s">
        <v>182</v>
      </c>
      <c r="F29" s="322">
        <f>F23+F25+F27-F28</f>
        <v>786613546.35000169</v>
      </c>
      <c r="G29" s="323" t="s">
        <v>182</v>
      </c>
      <c r="H29" s="322">
        <f>(H23+H25)</f>
        <v>-16608810.539167881</v>
      </c>
      <c r="I29" s="129">
        <f>F29-FC1DIS!I283</f>
        <v>0</v>
      </c>
      <c r="K29" s="129"/>
    </row>
    <row r="30" spans="1:11" ht="17.25" thickTop="1" x14ac:dyDescent="0.3">
      <c r="D30" s="278"/>
      <c r="F30" s="171">
        <f>F29-FC1DIS!I283</f>
        <v>0</v>
      </c>
      <c r="H30" s="84">
        <f>H29-FC1DIS!N283</f>
        <v>0</v>
      </c>
    </row>
    <row r="31" spans="1:11" x14ac:dyDescent="0.3">
      <c r="D31" s="278"/>
    </row>
    <row r="32" spans="1:11" x14ac:dyDescent="0.3">
      <c r="C32" s="46" t="s">
        <v>95</v>
      </c>
      <c r="D32" s="262"/>
      <c r="E32" s="2"/>
    </row>
    <row r="33" spans="3:5" x14ac:dyDescent="0.3">
      <c r="C33" s="48"/>
      <c r="D33" s="262"/>
      <c r="E33" s="51" t="s">
        <v>389</v>
      </c>
    </row>
    <row r="34" spans="3:5" x14ac:dyDescent="0.3">
      <c r="C34" s="50"/>
      <c r="D34" s="262"/>
      <c r="E34" s="52" t="s">
        <v>363</v>
      </c>
    </row>
    <row r="35" spans="3:5" x14ac:dyDescent="0.3">
      <c r="D35" s="278"/>
    </row>
    <row r="36" spans="3:5" x14ac:dyDescent="0.3">
      <c r="D36" s="278"/>
    </row>
    <row r="37" spans="3:5" x14ac:dyDescent="0.3">
      <c r="D37" s="278"/>
    </row>
    <row r="38" spans="3:5" x14ac:dyDescent="0.3">
      <c r="D38" s="278"/>
    </row>
    <row r="39" spans="3:5" x14ac:dyDescent="0.3">
      <c r="D39" s="278"/>
    </row>
  </sheetData>
  <mergeCells count="5">
    <mergeCell ref="A1:H1"/>
    <mergeCell ref="A2:H2"/>
    <mergeCell ref="A3:H3"/>
    <mergeCell ref="A4:H4"/>
    <mergeCell ref="A5:H5"/>
  </mergeCells>
  <printOptions horizontalCentere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1"/>
  </sheetPr>
  <dimension ref="A1:I286"/>
  <sheetViews>
    <sheetView view="pageBreakPreview" zoomScaleNormal="85" zoomScaleSheetLayoutView="100" workbookViewId="0">
      <pane xSplit="5" ySplit="8" topLeftCell="F264" activePane="bottomRight" state="frozen"/>
      <selection activeCell="N15" sqref="N15"/>
      <selection pane="topRight" activeCell="N15" sqref="N15"/>
      <selection pane="bottomLeft" activeCell="N15" sqref="N15"/>
      <selection pane="bottomRight" activeCell="I273" sqref="I273"/>
    </sheetView>
  </sheetViews>
  <sheetFormatPr defaultColWidth="9.140625" defaultRowHeight="15.75" x14ac:dyDescent="0.25"/>
  <cols>
    <col min="1" max="1" width="48.7109375" style="105" customWidth="1"/>
    <col min="2" max="2" width="8.7109375" style="106" customWidth="1"/>
    <col min="3" max="3" width="12.28515625" style="103" bestFit="1" customWidth="1"/>
    <col min="4" max="4" width="20.7109375" style="496" customWidth="1"/>
    <col min="5" max="5" width="22.85546875" style="496" bestFit="1" customWidth="1"/>
    <col min="6" max="6" width="9.140625" style="85" customWidth="1"/>
    <col min="7" max="7" width="17.85546875" style="86" customWidth="1"/>
    <col min="8" max="8" width="18.5703125" style="85" customWidth="1"/>
    <col min="9" max="9" width="17.42578125" style="86" customWidth="1"/>
    <col min="10" max="16384" width="9.140625" style="85"/>
  </cols>
  <sheetData>
    <row r="1" spans="1:7" x14ac:dyDescent="0.25">
      <c r="A1" s="542" t="s">
        <v>0</v>
      </c>
      <c r="B1" s="542"/>
      <c r="C1" s="542"/>
      <c r="D1" s="542"/>
      <c r="E1" s="542"/>
    </row>
    <row r="2" spans="1:7" x14ac:dyDescent="0.25">
      <c r="A2" s="542" t="s">
        <v>1</v>
      </c>
      <c r="B2" s="542"/>
      <c r="C2" s="542"/>
      <c r="D2" s="542"/>
      <c r="E2" s="542"/>
    </row>
    <row r="3" spans="1:7" x14ac:dyDescent="0.25">
      <c r="A3" s="543" t="s">
        <v>198</v>
      </c>
      <c r="B3" s="543"/>
      <c r="C3" s="543"/>
      <c r="D3" s="543"/>
      <c r="E3" s="543"/>
    </row>
    <row r="4" spans="1:7" x14ac:dyDescent="0.25">
      <c r="A4" s="544" t="s">
        <v>351</v>
      </c>
      <c r="B4" s="544"/>
      <c r="C4" s="544"/>
      <c r="D4" s="544"/>
      <c r="E4" s="544"/>
    </row>
    <row r="5" spans="1:7" x14ac:dyDescent="0.25">
      <c r="A5" s="545" t="s">
        <v>548</v>
      </c>
      <c r="B5" s="545"/>
      <c r="C5" s="545"/>
      <c r="D5" s="545"/>
      <c r="E5" s="545"/>
    </row>
    <row r="6" spans="1:7" x14ac:dyDescent="0.25">
      <c r="A6" s="545"/>
      <c r="B6" s="545"/>
      <c r="C6" s="545"/>
      <c r="D6" s="545"/>
      <c r="E6" s="545"/>
    </row>
    <row r="7" spans="1:7" x14ac:dyDescent="0.25">
      <c r="A7" s="540" t="s">
        <v>81</v>
      </c>
      <c r="B7" s="87" t="s">
        <v>82</v>
      </c>
      <c r="C7" s="88" t="s">
        <v>178</v>
      </c>
      <c r="D7" s="491"/>
      <c r="E7" s="491"/>
    </row>
    <row r="8" spans="1:7" x14ac:dyDescent="0.25">
      <c r="A8" s="541"/>
      <c r="B8" s="91" t="s">
        <v>83</v>
      </c>
      <c r="C8" s="91" t="s">
        <v>83</v>
      </c>
      <c r="D8" s="492" t="s">
        <v>84</v>
      </c>
      <c r="E8" s="492" t="s">
        <v>85</v>
      </c>
    </row>
    <row r="9" spans="1:7" ht="9.75" customHeight="1" x14ac:dyDescent="0.25">
      <c r="A9" s="93"/>
      <c r="B9" s="94"/>
      <c r="C9" s="94"/>
      <c r="D9" s="493"/>
      <c r="E9" s="493"/>
    </row>
    <row r="10" spans="1:7" x14ac:dyDescent="0.25">
      <c r="A10" s="95" t="s">
        <v>2</v>
      </c>
      <c r="B10" s="96"/>
      <c r="C10" s="131">
        <v>1010101000</v>
      </c>
      <c r="D10" s="494">
        <f>IFERROR(VLOOKUP(C10,[17]TB!$C$11:$Z$276,24,FALSE),0)</f>
        <v>11854678.75</v>
      </c>
      <c r="E10" s="494">
        <f>IFERROR(VLOOKUP(C10,[17]TB!$C$11:$AA$276,25,FALSE),0)</f>
        <v>0</v>
      </c>
      <c r="G10" s="86">
        <f>SUM(D10:E10)</f>
        <v>11854678.75</v>
      </c>
    </row>
    <row r="11" spans="1:7" x14ac:dyDescent="0.25">
      <c r="A11" s="95" t="s">
        <v>228</v>
      </c>
      <c r="B11" s="96"/>
      <c r="C11" s="132">
        <v>1990102000</v>
      </c>
      <c r="D11" s="494">
        <f>IFERROR(VLOOKUP(C11,[17]TB!$C$11:$Z$276,24,FALSE),0)</f>
        <v>0</v>
      </c>
      <c r="E11" s="494">
        <f>IFERROR(VLOOKUP(C11,[17]TB!$C$11:$AA$276,25,FALSE),0)</f>
        <v>0</v>
      </c>
      <c r="G11" s="86">
        <f t="shared" ref="G11:G75" si="0">SUM(D11:E11)</f>
        <v>0</v>
      </c>
    </row>
    <row r="12" spans="1:7" x14ac:dyDescent="0.25">
      <c r="A12" s="95" t="s">
        <v>398</v>
      </c>
      <c r="B12" s="96"/>
      <c r="C12" s="133">
        <v>1990103000</v>
      </c>
      <c r="D12" s="494">
        <f>IFERROR(VLOOKUP(C12,[17]TB!$C$11:$Z$276,24,FALSE),0)</f>
        <v>21337000</v>
      </c>
      <c r="E12" s="494">
        <f>IFERROR(VLOOKUP(C12,[17]TB!$C$11:$AA$276,25,FALSE),0)</f>
        <v>0</v>
      </c>
      <c r="G12" s="86">
        <f t="shared" si="0"/>
        <v>21337000</v>
      </c>
    </row>
    <row r="13" spans="1:7" x14ac:dyDescent="0.25">
      <c r="A13" s="95" t="s">
        <v>223</v>
      </c>
      <c r="B13" s="96"/>
      <c r="C13" s="133">
        <v>1990302000</v>
      </c>
      <c r="D13" s="494">
        <f>IFERROR(VLOOKUP(C13,[17]TB!$C$11:$Z$276,24,FALSE),0)</f>
        <v>561610.4</v>
      </c>
      <c r="E13" s="494">
        <f>IFERROR(VLOOKUP(C13,[17]TB!$C$11:$AA$276,25,FALSE),0)</f>
        <v>0</v>
      </c>
      <c r="G13" s="86">
        <f t="shared" si="0"/>
        <v>561610.4</v>
      </c>
    </row>
    <row r="14" spans="1:7" x14ac:dyDescent="0.25">
      <c r="A14" s="95" t="s">
        <v>3</v>
      </c>
      <c r="B14" s="96"/>
      <c r="C14" s="110">
        <v>1010102000</v>
      </c>
      <c r="D14" s="494">
        <f>IFERROR(VLOOKUP(C14,[17]TB!$C$11:$Z$276,24,FALSE),0)</f>
        <v>735000</v>
      </c>
      <c r="E14" s="494">
        <f>IFERROR(VLOOKUP(C14,[17]TB!$C$11:$AA$276,25,FALSE),0)</f>
        <v>0</v>
      </c>
      <c r="G14" s="86">
        <f t="shared" si="0"/>
        <v>735000</v>
      </c>
    </row>
    <row r="15" spans="1:7" x14ac:dyDescent="0.25">
      <c r="A15" s="95" t="s">
        <v>97</v>
      </c>
      <c r="B15" s="96"/>
      <c r="C15" s="131">
        <v>1010404000</v>
      </c>
      <c r="D15" s="494">
        <f>IFERROR(VLOOKUP(C15,[17]TB!$C$11:$Z$276,24,FALSE),0)</f>
        <v>0</v>
      </c>
      <c r="E15" s="494">
        <f>IFERROR(VLOOKUP(C15,[17]TB!$C$11:$AA$276,25,FALSE),0)</f>
        <v>0</v>
      </c>
      <c r="G15" s="86">
        <f t="shared" si="0"/>
        <v>0</v>
      </c>
    </row>
    <row r="16" spans="1:7" x14ac:dyDescent="0.25">
      <c r="A16" s="95" t="s">
        <v>98</v>
      </c>
      <c r="B16" s="96"/>
      <c r="C16" s="131">
        <v>1010202016</v>
      </c>
      <c r="D16" s="494">
        <f>IFERROR(VLOOKUP(C16,[17]TB!$C$11:$Z$276,24,FALSE),0)</f>
        <v>0</v>
      </c>
      <c r="E16" s="494">
        <f>IFERROR(VLOOKUP(C16,[17]TB!$C$11:$AA$276,25,FALSE),0)</f>
        <v>0</v>
      </c>
      <c r="G16" s="86">
        <f t="shared" si="0"/>
        <v>0</v>
      </c>
    </row>
    <row r="17" spans="1:9" ht="31.5" x14ac:dyDescent="0.25">
      <c r="A17" s="183" t="s">
        <v>507</v>
      </c>
      <c r="B17" s="96"/>
      <c r="C17" s="131">
        <v>1010202024</v>
      </c>
      <c r="D17" s="494">
        <f>IFERROR(VLOOKUP(C17,[17]TB!$C$11:$Z$276,24,FALSE),0)</f>
        <v>220000</v>
      </c>
      <c r="E17" s="494">
        <f>IFERROR(VLOOKUP(C17,[17]TB!$C$11:$AA$276,25,FALSE),0)</f>
        <v>0</v>
      </c>
      <c r="G17" s="86">
        <f t="shared" si="0"/>
        <v>220000</v>
      </c>
    </row>
    <row r="18" spans="1:9" x14ac:dyDescent="0.25">
      <c r="A18" s="95" t="s">
        <v>100</v>
      </c>
      <c r="B18" s="96"/>
      <c r="C18" s="131">
        <v>1010202030</v>
      </c>
      <c r="D18" s="494">
        <f>IFERROR(VLOOKUP(C18,[17]TB!$C$11:$Z$276,24,FALSE),0)</f>
        <v>0</v>
      </c>
      <c r="E18" s="494">
        <f>IFERROR(VLOOKUP(C18,[17]TB!$C$11:$AA$276,25,FALSE),0)</f>
        <v>0</v>
      </c>
      <c r="G18" s="86">
        <f t="shared" si="0"/>
        <v>0</v>
      </c>
    </row>
    <row r="19" spans="1:9" x14ac:dyDescent="0.25">
      <c r="A19" s="95" t="s">
        <v>4</v>
      </c>
      <c r="B19" s="96"/>
      <c r="C19" s="110">
        <v>1030101000</v>
      </c>
      <c r="D19" s="494">
        <f>IFERROR(VLOOKUP(C19,[17]TB!$C$11:$Z$276,24,FALSE),0)</f>
        <v>0</v>
      </c>
      <c r="E19" s="494">
        <f>IFERROR(VLOOKUP(C19,[17]TB!$C$11:$AA$276,25,FALSE),0)</f>
        <v>0</v>
      </c>
      <c r="G19" s="86">
        <f t="shared" si="0"/>
        <v>0</v>
      </c>
    </row>
    <row r="20" spans="1:9" x14ac:dyDescent="0.25">
      <c r="A20" s="95" t="s">
        <v>385</v>
      </c>
      <c r="B20" s="96"/>
      <c r="C20" s="110">
        <v>1030501000</v>
      </c>
      <c r="D20" s="494">
        <f>IFERROR(VLOOKUP(C20,[17]TB!$C$11:$Z$276,24,FALSE),0)</f>
        <v>0</v>
      </c>
      <c r="E20" s="494">
        <f>IFERROR(VLOOKUP(C20,[17]TB!$C$11:$AA$276,25,FALSE),0)</f>
        <v>0</v>
      </c>
      <c r="G20" s="86">
        <f t="shared" si="0"/>
        <v>0</v>
      </c>
    </row>
    <row r="21" spans="1:9" x14ac:dyDescent="0.25">
      <c r="A21" s="95" t="s">
        <v>5</v>
      </c>
      <c r="B21" s="96"/>
      <c r="C21" s="136">
        <v>1039902000</v>
      </c>
      <c r="D21" s="494">
        <f>IFERROR(VLOOKUP(C21,[17]TB!$C$11:$Z$276,24,FALSE),0)</f>
        <v>1500</v>
      </c>
      <c r="E21" s="494">
        <f>IFERROR(VLOOKUP(C21,[17]TB!$C$11:$AA$276,25,FALSE),0)</f>
        <v>0</v>
      </c>
      <c r="G21" s="86">
        <f t="shared" si="0"/>
        <v>1500</v>
      </c>
    </row>
    <row r="22" spans="1:9" x14ac:dyDescent="0.25">
      <c r="A22" s="95" t="s">
        <v>6</v>
      </c>
      <c r="B22" s="96"/>
      <c r="C22" s="110">
        <v>1030199000</v>
      </c>
      <c r="D22" s="494">
        <f>IFERROR(VLOOKUP(C22,[17]TB!$C$11:$Z$276,24,FALSE),0)</f>
        <v>0</v>
      </c>
      <c r="E22" s="494">
        <f>IFERROR(VLOOKUP(C22,[17]TB!$C$11:$AA$276,25,FALSE),0)</f>
        <v>0</v>
      </c>
      <c r="G22" s="86">
        <f t="shared" si="0"/>
        <v>0</v>
      </c>
    </row>
    <row r="23" spans="1:9" x14ac:dyDescent="0.25">
      <c r="A23" s="95" t="s">
        <v>179</v>
      </c>
      <c r="B23" s="96"/>
      <c r="C23" s="131">
        <v>1010401000</v>
      </c>
      <c r="D23" s="494">
        <f>IFERROR(VLOOKUP(C23,[17]TB!$C$11:$Z$276,24,FALSE),0)</f>
        <v>172292235.08000001</v>
      </c>
      <c r="E23" s="494">
        <f>IFERROR(VLOOKUP(C23,[17]TB!$C$11:$AA$276,25,FALSE),0)</f>
        <v>0</v>
      </c>
      <c r="G23" s="86">
        <f t="shared" si="0"/>
        <v>172292235.08000001</v>
      </c>
    </row>
    <row r="24" spans="1:9" x14ac:dyDescent="0.25">
      <c r="A24" s="95" t="s">
        <v>180</v>
      </c>
      <c r="B24" s="99"/>
      <c r="C24" s="134">
        <v>1010403000</v>
      </c>
      <c r="D24" s="494">
        <f>IFERROR(VLOOKUP(C24,[17]TB!$C$11:$Z$276,24,FALSE),0)</f>
        <v>11092962.93</v>
      </c>
      <c r="E24" s="494">
        <f>IFERROR(VLOOKUP(C24,[17]TB!$C$11:$AA$276,25,FALSE),0)</f>
        <v>0</v>
      </c>
      <c r="G24" s="86">
        <f t="shared" si="0"/>
        <v>11092962.93</v>
      </c>
    </row>
    <row r="25" spans="1:9" x14ac:dyDescent="0.25">
      <c r="A25" s="95" t="s">
        <v>181</v>
      </c>
      <c r="B25" s="96"/>
      <c r="C25" s="131">
        <v>1010406000</v>
      </c>
      <c r="D25" s="494">
        <f>IFERROR(VLOOKUP(C25,[17]TB!$C$11:$Z$276,24,FALSE),0)</f>
        <v>0</v>
      </c>
      <c r="E25" s="494">
        <f>IFERROR(VLOOKUP(C25,[17]TB!$C$11:$AA$276,25,FALSE),0)</f>
        <v>0</v>
      </c>
      <c r="G25" s="86">
        <f t="shared" si="0"/>
        <v>0</v>
      </c>
    </row>
    <row r="26" spans="1:9" x14ac:dyDescent="0.25">
      <c r="A26" s="95" t="s">
        <v>342</v>
      </c>
      <c r="B26" s="96"/>
      <c r="C26" s="131">
        <v>1010407000</v>
      </c>
      <c r="D26" s="494">
        <f>IFERROR(VLOOKUP(C26,[17]TB!$C$11:$Z$276,24,FALSE),0)</f>
        <v>0</v>
      </c>
      <c r="E26" s="494">
        <f>IFERROR(VLOOKUP(C26,[17]TB!$C$11:$AA$276,25,FALSE),0)</f>
        <v>0</v>
      </c>
      <c r="G26" s="86">
        <f t="shared" si="0"/>
        <v>0</v>
      </c>
    </row>
    <row r="27" spans="1:9" s="100" customFormat="1" x14ac:dyDescent="0.25">
      <c r="A27" s="141" t="s">
        <v>415</v>
      </c>
      <c r="B27" s="142"/>
      <c r="C27" s="132">
        <v>1010408000</v>
      </c>
      <c r="D27" s="494">
        <f>IFERROR(VLOOKUP(C27,[17]TB!$C$11:$Z$276,24,FALSE),0)</f>
        <v>466563.92</v>
      </c>
      <c r="E27" s="494">
        <f>IFERROR(VLOOKUP(C27,[17]TB!$C$11:$AA$276,25,FALSE),0)</f>
        <v>0</v>
      </c>
      <c r="G27" s="86">
        <f t="shared" si="0"/>
        <v>466563.92</v>
      </c>
      <c r="I27" s="274"/>
    </row>
    <row r="28" spans="1:9" x14ac:dyDescent="0.25">
      <c r="A28" s="95" t="s">
        <v>390</v>
      </c>
      <c r="B28" s="96"/>
      <c r="C28" s="136">
        <v>1010409000</v>
      </c>
      <c r="D28" s="494">
        <f>IFERROR(VLOOKUP(C28,[17]TB!$C$11:$Z$276,24,FALSE),0)</f>
        <v>0</v>
      </c>
      <c r="E28" s="494">
        <f>IFERROR(VLOOKUP(C28,[17]TB!$C$11:$AA$276,25,FALSE),0)</f>
        <v>1534539.18</v>
      </c>
      <c r="G28" s="86">
        <f t="shared" si="0"/>
        <v>1534539.18</v>
      </c>
    </row>
    <row r="29" spans="1:9" x14ac:dyDescent="0.25">
      <c r="A29" s="95" t="s">
        <v>7</v>
      </c>
      <c r="B29" s="96"/>
      <c r="C29" s="110">
        <v>1030301000</v>
      </c>
      <c r="D29" s="494">
        <f>IFERROR(VLOOKUP(C29,[17]TB!$C$11:$Z$276,24,FALSE),0)</f>
        <v>0</v>
      </c>
      <c r="E29" s="494">
        <f>IFERROR(VLOOKUP(C29,[17]TB!$C$11:$AA$276,25,FALSE),0)</f>
        <v>0</v>
      </c>
      <c r="G29" s="86">
        <f t="shared" si="0"/>
        <v>0</v>
      </c>
    </row>
    <row r="30" spans="1:9" x14ac:dyDescent="0.25">
      <c r="A30" s="95" t="s">
        <v>8</v>
      </c>
      <c r="B30" s="96"/>
      <c r="C30" s="110">
        <v>1030302000</v>
      </c>
      <c r="D30" s="494">
        <f>IFERROR(VLOOKUP(C30,[17]TB!$C$11:$Z$276,24,FALSE),0)</f>
        <v>0</v>
      </c>
      <c r="E30" s="494">
        <f>IFERROR(VLOOKUP(C30,[17]TB!$C$11:$AA$276,25,FALSE),0)</f>
        <v>0</v>
      </c>
      <c r="G30" s="86">
        <f t="shared" si="0"/>
        <v>0</v>
      </c>
    </row>
    <row r="31" spans="1:9" x14ac:dyDescent="0.25">
      <c r="A31" s="95" t="s">
        <v>9</v>
      </c>
      <c r="B31" s="96"/>
      <c r="C31" s="135">
        <v>1030303000</v>
      </c>
      <c r="D31" s="494">
        <f>IFERROR(VLOOKUP(C31,[17]TB!$C$11:$Z$276,24,FALSE),0)</f>
        <v>392342147.19999999</v>
      </c>
      <c r="E31" s="494">
        <f>IFERROR(VLOOKUP(C31,[17]TB!$C$11:$AA$276,25,FALSE),0)</f>
        <v>0</v>
      </c>
      <c r="G31" s="86">
        <f t="shared" si="0"/>
        <v>392342147.19999999</v>
      </c>
    </row>
    <row r="32" spans="1:9" x14ac:dyDescent="0.25">
      <c r="A32" s="95" t="s">
        <v>10</v>
      </c>
      <c r="B32" s="99"/>
      <c r="C32" s="136">
        <v>1039903000</v>
      </c>
      <c r="D32" s="494">
        <f>IFERROR(VLOOKUP(C32,[17]TB!$C$11:$Z$276,24,FALSE),0)</f>
        <v>28436934.66</v>
      </c>
      <c r="E32" s="494">
        <f>IFERROR(VLOOKUP(C32,[17]TB!$C$11:$AA$276,25,FALSE),0)</f>
        <v>0</v>
      </c>
      <c r="G32" s="86">
        <f t="shared" si="0"/>
        <v>28436934.66</v>
      </c>
    </row>
    <row r="33" spans="1:7" x14ac:dyDescent="0.25">
      <c r="A33" s="95" t="s">
        <v>11</v>
      </c>
      <c r="B33" s="96"/>
      <c r="C33" s="110">
        <v>1030405000</v>
      </c>
      <c r="D33" s="494">
        <f>IFERROR(VLOOKUP(C33,[17]TB!$C$11:$Z$276,24,FALSE),0)</f>
        <v>0</v>
      </c>
      <c r="E33" s="494">
        <f>IFERROR(VLOOKUP(C33,[17]TB!$C$11:$AA$276,25,FALSE),0)</f>
        <v>0</v>
      </c>
      <c r="G33" s="86">
        <f t="shared" si="0"/>
        <v>0</v>
      </c>
    </row>
    <row r="34" spans="1:7" x14ac:dyDescent="0.25">
      <c r="A34" s="95" t="s">
        <v>12</v>
      </c>
      <c r="B34" s="99"/>
      <c r="C34" s="110">
        <v>1990104000</v>
      </c>
      <c r="D34" s="494">
        <f>IFERROR(VLOOKUP(C34,[17]TB!$C$11:$Z$276,24,FALSE),0)</f>
        <v>0</v>
      </c>
      <c r="E34" s="494">
        <f>IFERROR(VLOOKUP(C34,[17]TB!$C$11:$AA$276,25,FALSE),0)</f>
        <v>0</v>
      </c>
      <c r="G34" s="86">
        <f t="shared" si="0"/>
        <v>0</v>
      </c>
    </row>
    <row r="35" spans="1:7" x14ac:dyDescent="0.25">
      <c r="A35" s="95" t="s">
        <v>13</v>
      </c>
      <c r="B35" s="99"/>
      <c r="C35" s="136">
        <v>1039999000</v>
      </c>
      <c r="D35" s="494">
        <f>IFERROR(VLOOKUP(C35,[17]TB!$C$11:$Z$276,24,FALSE),0)</f>
        <v>0</v>
      </c>
      <c r="E35" s="494">
        <f>IFERROR(VLOOKUP(C35,[17]TB!$C$11:$AA$276,25,FALSE),0)</f>
        <v>0</v>
      </c>
      <c r="G35" s="86">
        <f t="shared" si="0"/>
        <v>0</v>
      </c>
    </row>
    <row r="36" spans="1:7" x14ac:dyDescent="0.25">
      <c r="A36" s="95" t="s">
        <v>238</v>
      </c>
      <c r="B36" s="96"/>
      <c r="C36" s="137">
        <v>1040299000</v>
      </c>
      <c r="D36" s="494">
        <f>IFERROR(VLOOKUP(C36,[17]TB!$C$11:$Z$276,24,FALSE),0)</f>
        <v>106254872.28</v>
      </c>
      <c r="E36" s="494">
        <f>IFERROR(VLOOKUP(C36,[17]TB!$C$11:$AA$276,25,FALSE),0)</f>
        <v>0</v>
      </c>
      <c r="G36" s="86">
        <f t="shared" si="0"/>
        <v>106254872.28</v>
      </c>
    </row>
    <row r="37" spans="1:7" x14ac:dyDescent="0.25">
      <c r="A37" s="95" t="s">
        <v>240</v>
      </c>
      <c r="B37" s="96"/>
      <c r="C37" s="110">
        <v>1040202000</v>
      </c>
      <c r="D37" s="494">
        <f>IFERROR(VLOOKUP(C37,[17]TB!$C$11:$Z$276,24,FALSE),0)</f>
        <v>90552093.180000007</v>
      </c>
      <c r="E37" s="494">
        <f>IFERROR(VLOOKUP(C37,[17]TB!$C$11:$AA$276,25,FALSE),0)</f>
        <v>0</v>
      </c>
      <c r="G37" s="86">
        <f t="shared" si="0"/>
        <v>90552093.180000007</v>
      </c>
    </row>
    <row r="38" spans="1:7" x14ac:dyDescent="0.25">
      <c r="A38" s="95" t="s">
        <v>239</v>
      </c>
      <c r="B38" s="96"/>
      <c r="C38" s="110">
        <v>1040204000</v>
      </c>
      <c r="D38" s="494">
        <f>IFERROR(VLOOKUP(C38,[17]TB!$C$11:$Z$276,24,FALSE),0)</f>
        <v>79220</v>
      </c>
      <c r="E38" s="494">
        <f>IFERROR(VLOOKUP(C38,[17]TB!$C$11:$AA$276,25,FALSE),0)</f>
        <v>0</v>
      </c>
      <c r="G38" s="86">
        <f t="shared" si="0"/>
        <v>79220</v>
      </c>
    </row>
    <row r="39" spans="1:7" x14ac:dyDescent="0.25">
      <c r="A39" s="95" t="s">
        <v>14</v>
      </c>
      <c r="B39" s="96"/>
      <c r="C39" s="110">
        <v>1040401000</v>
      </c>
      <c r="D39" s="494">
        <f>IFERROR(VLOOKUP(C39,[17]TB!$C$11:$Z$276,24,FALSE),0)</f>
        <v>3103412.7</v>
      </c>
      <c r="E39" s="494">
        <f>IFERROR(VLOOKUP(C39,[17]TB!$C$11:$AA$276,25,FALSE),0)</f>
        <v>0</v>
      </c>
      <c r="G39" s="86">
        <f t="shared" si="0"/>
        <v>3103412.7</v>
      </c>
    </row>
    <row r="40" spans="1:7" x14ac:dyDescent="0.25">
      <c r="A40" s="95" t="s">
        <v>15</v>
      </c>
      <c r="B40" s="96"/>
      <c r="C40" s="110">
        <v>1040405000</v>
      </c>
      <c r="D40" s="494">
        <f>IFERROR(VLOOKUP(C40,[17]TB!$C$11:$Z$276,24,FALSE),0)</f>
        <v>10310298.550000001</v>
      </c>
      <c r="E40" s="494">
        <f>IFERROR(VLOOKUP(C40,[17]TB!$C$11:$AA$276,25,FALSE),0)</f>
        <v>0</v>
      </c>
      <c r="G40" s="86">
        <f t="shared" si="0"/>
        <v>10310298.550000001</v>
      </c>
    </row>
    <row r="41" spans="1:7" x14ac:dyDescent="0.25">
      <c r="A41" s="95" t="s">
        <v>16</v>
      </c>
      <c r="B41" s="96"/>
      <c r="C41" s="110">
        <v>1040406000</v>
      </c>
      <c r="D41" s="494">
        <f>IFERROR(VLOOKUP(C41,[17]TB!$C$11:$Z$276,24,FALSE),0)</f>
        <v>365376.47</v>
      </c>
      <c r="E41" s="494">
        <f>IFERROR(VLOOKUP(C41,[17]TB!$C$11:$AA$276,25,FALSE),0)</f>
        <v>0</v>
      </c>
      <c r="G41" s="86">
        <f t="shared" si="0"/>
        <v>365376.47</v>
      </c>
    </row>
    <row r="42" spans="1:7" x14ac:dyDescent="0.25">
      <c r="A42" s="95" t="s">
        <v>377</v>
      </c>
      <c r="B42" s="96"/>
      <c r="C42" s="110">
        <v>1040407000</v>
      </c>
      <c r="D42" s="494">
        <f>IFERROR(VLOOKUP(C42,[17]TB!$C$11:$Z$276,24,FALSE),0)</f>
        <v>688133.12</v>
      </c>
      <c r="E42" s="494">
        <f>IFERROR(VLOOKUP(C42,[17]TB!$C$11:$AA$276,25,FALSE),0)</f>
        <v>0</v>
      </c>
      <c r="G42" s="86">
        <f t="shared" si="0"/>
        <v>688133.12</v>
      </c>
    </row>
    <row r="43" spans="1:7" x14ac:dyDescent="0.25">
      <c r="A43" s="95" t="s">
        <v>237</v>
      </c>
      <c r="B43" s="96"/>
      <c r="C43" s="110">
        <v>1040408000</v>
      </c>
      <c r="D43" s="494">
        <f>IFERROR(VLOOKUP(C43,[17]TB!$C$11:$Z$276,24,FALSE),0)</f>
        <v>75000</v>
      </c>
      <c r="E43" s="494">
        <f>IFERROR(VLOOKUP(C43,[17]TB!$C$11:$AA$276,25,FALSE),0)</f>
        <v>0</v>
      </c>
      <c r="G43" s="86">
        <f t="shared" si="0"/>
        <v>75000</v>
      </c>
    </row>
    <row r="44" spans="1:7" x14ac:dyDescent="0.25">
      <c r="A44" s="415" t="s">
        <v>538</v>
      </c>
      <c r="B44" s="357"/>
      <c r="C44" s="351">
        <v>1040499000</v>
      </c>
      <c r="D44" s="494">
        <f>IFERROR(VLOOKUP(C44,[17]TB!$C$11:$Z$276,24,FALSE),0)</f>
        <v>3027097.69</v>
      </c>
      <c r="E44" s="494">
        <f>IFERROR(VLOOKUP(C44,[17]TB!$C$11:$AA$276,25,FALSE),0)</f>
        <v>0</v>
      </c>
      <c r="G44" s="86">
        <f t="shared" si="0"/>
        <v>3027097.69</v>
      </c>
    </row>
    <row r="45" spans="1:7" x14ac:dyDescent="0.25">
      <c r="A45" s="95" t="s">
        <v>18</v>
      </c>
      <c r="B45" s="96"/>
      <c r="C45" s="110">
        <v>1040413000</v>
      </c>
      <c r="D45" s="494">
        <f>IFERROR(VLOOKUP(C45,[17]TB!$C$11:$Z$276,24,FALSE),0)</f>
        <v>0</v>
      </c>
      <c r="E45" s="494">
        <f>IFERROR(VLOOKUP(C45,[17]TB!$C$11:$AA$276,25,FALSE),0)</f>
        <v>0</v>
      </c>
      <c r="G45" s="86">
        <f t="shared" si="0"/>
        <v>0</v>
      </c>
    </row>
    <row r="46" spans="1:7" x14ac:dyDescent="0.25">
      <c r="A46" s="95" t="s">
        <v>344</v>
      </c>
      <c r="B46" s="96"/>
      <c r="C46" s="110">
        <v>1040501000</v>
      </c>
      <c r="D46" s="494">
        <f>IFERROR(VLOOKUP(C46,[17]TB!$C$11:$Z$276,24,FALSE),0)</f>
        <v>0</v>
      </c>
      <c r="E46" s="494">
        <f>IFERROR(VLOOKUP(C46,[17]TB!$C$11:$AA$276,25,FALSE),0)</f>
        <v>0</v>
      </c>
      <c r="G46" s="86">
        <f t="shared" si="0"/>
        <v>0</v>
      </c>
    </row>
    <row r="47" spans="1:7" x14ac:dyDescent="0.25">
      <c r="A47" s="95" t="s">
        <v>345</v>
      </c>
      <c r="B47" s="96"/>
      <c r="C47" s="110">
        <v>1040502000</v>
      </c>
      <c r="D47" s="494">
        <f>IFERROR(VLOOKUP(C47,[17]TB!$C$11:$Z$276,24,FALSE),0)</f>
        <v>135898</v>
      </c>
      <c r="E47" s="494">
        <f>IFERROR(VLOOKUP(C47,[17]TB!$C$11:$AA$276,25,FALSE),0)</f>
        <v>0</v>
      </c>
      <c r="G47" s="86">
        <f t="shared" si="0"/>
        <v>135898</v>
      </c>
    </row>
    <row r="48" spans="1:7" x14ac:dyDescent="0.25">
      <c r="A48" s="95" t="s">
        <v>346</v>
      </c>
      <c r="B48" s="96"/>
      <c r="C48" s="110">
        <v>1040503000</v>
      </c>
      <c r="D48" s="494">
        <f>IFERROR(VLOOKUP(C48,[17]TB!$C$11:$Z$276,24,FALSE),0)</f>
        <v>3545933.87</v>
      </c>
      <c r="E48" s="494">
        <f>IFERROR(VLOOKUP(C48,[17]TB!$C$11:$AA$276,25,FALSE),0)</f>
        <v>0</v>
      </c>
      <c r="G48" s="86">
        <f t="shared" si="0"/>
        <v>3545933.87</v>
      </c>
    </row>
    <row r="49" spans="1:9" x14ac:dyDescent="0.25">
      <c r="A49" s="95" t="s">
        <v>347</v>
      </c>
      <c r="B49" s="96"/>
      <c r="C49" s="110">
        <v>1040510000</v>
      </c>
      <c r="D49" s="494">
        <f>IFERROR(VLOOKUP(C49,[17]TB!$C$11:$Z$276,24,FALSE),0)</f>
        <v>3900</v>
      </c>
      <c r="E49" s="494">
        <f>IFERROR(VLOOKUP(C49,[17]TB!$C$11:$AA$276,25,FALSE),0)</f>
        <v>0</v>
      </c>
      <c r="G49" s="86">
        <f t="shared" si="0"/>
        <v>3900</v>
      </c>
    </row>
    <row r="50" spans="1:9" x14ac:dyDescent="0.25">
      <c r="A50" s="95" t="s">
        <v>348</v>
      </c>
      <c r="B50" s="96"/>
      <c r="C50" s="110">
        <v>1040512000</v>
      </c>
      <c r="D50" s="494">
        <f>IFERROR(VLOOKUP(C50,[17]TB!$C$11:$Z$276,24,FALSE),0)</f>
        <v>0</v>
      </c>
      <c r="E50" s="494">
        <f>IFERROR(VLOOKUP(C50,[17]TB!$C$11:$AA$276,25,FALSE),0)</f>
        <v>0</v>
      </c>
      <c r="G50" s="86">
        <f t="shared" si="0"/>
        <v>0</v>
      </c>
    </row>
    <row r="51" spans="1:9" x14ac:dyDescent="0.25">
      <c r="A51" s="95" t="s">
        <v>349</v>
      </c>
      <c r="B51" s="99"/>
      <c r="C51" s="110">
        <v>1040513000</v>
      </c>
      <c r="D51" s="494">
        <f>IFERROR(VLOOKUP(C51,[17]TB!$C$11:$Z$276,24,FALSE),0)</f>
        <v>0</v>
      </c>
      <c r="E51" s="494">
        <f>IFERROR(VLOOKUP(C51,[17]TB!$C$11:$AA$276,25,FALSE),0)</f>
        <v>0</v>
      </c>
      <c r="G51" s="86">
        <f t="shared" si="0"/>
        <v>0</v>
      </c>
    </row>
    <row r="52" spans="1:9" x14ac:dyDescent="0.25">
      <c r="A52" s="95" t="s">
        <v>366</v>
      </c>
      <c r="B52" s="96"/>
      <c r="C52" s="136">
        <v>1040599000</v>
      </c>
      <c r="D52" s="494">
        <f>IFERROR(VLOOKUP(C52,[17]TB!$C$11:$Z$276,24,FALSE),0)</f>
        <v>25570</v>
      </c>
      <c r="E52" s="494">
        <f>IFERROR(VLOOKUP(C52,[17]TB!$C$11:$AA$276,25,FALSE),0)</f>
        <v>0</v>
      </c>
      <c r="G52" s="86">
        <f t="shared" si="0"/>
        <v>25570</v>
      </c>
    </row>
    <row r="53" spans="1:9" x14ac:dyDescent="0.25">
      <c r="A53" s="95" t="s">
        <v>350</v>
      </c>
      <c r="B53" s="96"/>
      <c r="C53" s="110">
        <v>1040601000</v>
      </c>
      <c r="D53" s="494">
        <f>IFERROR(VLOOKUP(C53,[17]TB!$C$11:$Z$276,24,FALSE),0)</f>
        <v>752978.5</v>
      </c>
      <c r="E53" s="494">
        <f>IFERROR(VLOOKUP(C53,[17]TB!$C$11:$AA$276,25,FALSE),0)</f>
        <v>0</v>
      </c>
      <c r="G53" s="86">
        <f t="shared" si="0"/>
        <v>752978.5</v>
      </c>
    </row>
    <row r="54" spans="1:9" x14ac:dyDescent="0.25">
      <c r="A54" s="95" t="s">
        <v>367</v>
      </c>
      <c r="B54" s="96"/>
      <c r="C54" s="110">
        <v>1040507000</v>
      </c>
      <c r="D54" s="494">
        <f>IFERROR(VLOOKUP(C54,[17]TB!$C$11:$Z$276,24,FALSE),0)</f>
        <v>8490</v>
      </c>
      <c r="E54" s="494">
        <f>IFERROR(VLOOKUP(C54,[17]TB!$C$11:$AA$276,25,FALSE),0)</f>
        <v>0</v>
      </c>
      <c r="G54" s="86">
        <f t="shared" si="0"/>
        <v>8490</v>
      </c>
    </row>
    <row r="55" spans="1:9" x14ac:dyDescent="0.25">
      <c r="A55" s="95" t="s">
        <v>544</v>
      </c>
      <c r="B55" s="96"/>
      <c r="C55" s="110">
        <v>1990299000</v>
      </c>
      <c r="D55" s="494">
        <f>IFERROR(VLOOKUP(C55,[17]TB!$C$11:$Z$276,24,FALSE),0)</f>
        <v>47350</v>
      </c>
      <c r="E55" s="494">
        <f>IFERROR(VLOOKUP(C55,[17]TB!$C$11:$AA$276,25,FALSE),0)</f>
        <v>0</v>
      </c>
      <c r="G55" s="86">
        <f t="shared" si="0"/>
        <v>47350</v>
      </c>
    </row>
    <row r="56" spans="1:9" x14ac:dyDescent="0.25">
      <c r="A56" s="95" t="s">
        <v>20</v>
      </c>
      <c r="B56" s="96"/>
      <c r="C56" s="110">
        <v>1020399000</v>
      </c>
      <c r="D56" s="494">
        <f>IFERROR(VLOOKUP(C56,[17]TB!$C$11:$Z$276,24,FALSE),0)</f>
        <v>0</v>
      </c>
      <c r="E56" s="494">
        <f>IFERROR(VLOOKUP(C56,[17]TB!$C$11:$AA$276,25,FALSE),0)</f>
        <v>0</v>
      </c>
      <c r="G56" s="86">
        <f t="shared" si="0"/>
        <v>0</v>
      </c>
      <c r="H56" s="90">
        <f>SUM(G29:G56)+D76+D77+D78+G27+G24+G23+G21+G17+G16+G15+G14+G12+G10-G28</f>
        <v>857155238.46000004</v>
      </c>
      <c r="I56" s="86">
        <f>H56-FC1SFP!I97</f>
        <v>170662649.42000008</v>
      </c>
    </row>
    <row r="57" spans="1:9" x14ac:dyDescent="0.25">
      <c r="A57" s="95" t="s">
        <v>21</v>
      </c>
      <c r="B57" s="96"/>
      <c r="C57" s="110">
        <v>1060101000</v>
      </c>
      <c r="D57" s="494">
        <f>IFERROR(VLOOKUP(C57,[17]TB!$C$11:$Z$276,24,FALSE),0)</f>
        <v>13914630</v>
      </c>
      <c r="E57" s="494">
        <f>IFERROR(VLOOKUP(C57,[17]TB!$C$11:$AA$276,25,FALSE),0)</f>
        <v>0</v>
      </c>
      <c r="G57" s="86">
        <f t="shared" si="0"/>
        <v>13914630</v>
      </c>
    </row>
    <row r="58" spans="1:9" x14ac:dyDescent="0.25">
      <c r="A58" s="95" t="s">
        <v>236</v>
      </c>
      <c r="B58" s="96"/>
      <c r="C58" s="110">
        <v>1060299000</v>
      </c>
      <c r="D58" s="494">
        <f>IFERROR(VLOOKUP(C58,[17]TB!$C$11:$Z$276,24,FALSE),0)</f>
        <v>699000</v>
      </c>
      <c r="E58" s="494">
        <f>IFERROR(VLOOKUP(C58,[17]TB!$C$11:$AA$276,25,FALSE),0)</f>
        <v>0</v>
      </c>
      <c r="G58" s="86">
        <f t="shared" si="0"/>
        <v>699000</v>
      </c>
    </row>
    <row r="59" spans="1:9" x14ac:dyDescent="0.25">
      <c r="A59" s="95" t="s">
        <v>235</v>
      </c>
      <c r="B59" s="96"/>
      <c r="C59" s="110">
        <v>1060401000</v>
      </c>
      <c r="D59" s="494">
        <f>IFERROR(VLOOKUP(C59,[17]TB!$C$11:$Z$276,24,FALSE),0)</f>
        <v>193062384.37</v>
      </c>
      <c r="E59" s="494">
        <f>IFERROR(VLOOKUP(C59,[17]TB!$C$11:$AA$276,25,FALSE),0)</f>
        <v>0</v>
      </c>
      <c r="G59" s="86">
        <f t="shared" si="0"/>
        <v>193062384.37</v>
      </c>
    </row>
    <row r="60" spans="1:9" x14ac:dyDescent="0.25">
      <c r="A60" s="95" t="s">
        <v>24</v>
      </c>
      <c r="B60" s="96"/>
      <c r="C60" s="110">
        <v>1060499000</v>
      </c>
      <c r="D60" s="494">
        <f>IFERROR(VLOOKUP(C60,[17]TB!$C$11:$Z$276,24,FALSE),0)</f>
        <v>22256506.460000001</v>
      </c>
      <c r="E60" s="494">
        <f>IFERROR(VLOOKUP(C60,[17]TB!$C$11:$AA$276,25,FALSE),0)</f>
        <v>0</v>
      </c>
      <c r="G60" s="86">
        <f t="shared" si="0"/>
        <v>22256506.460000001</v>
      </c>
    </row>
    <row r="61" spans="1:9" x14ac:dyDescent="0.25">
      <c r="A61" s="158" t="s">
        <v>447</v>
      </c>
      <c r="B61" s="159"/>
      <c r="C61" s="160">
        <v>1060501000</v>
      </c>
      <c r="D61" s="494">
        <f>IFERROR(VLOOKUP(C61,[17]TB!$C$11:$Z$276,24,FALSE),0)</f>
        <v>0</v>
      </c>
      <c r="E61" s="494">
        <f>IFERROR(VLOOKUP(C61,[17]TB!$C$11:$AA$276,25,FALSE),0)</f>
        <v>0</v>
      </c>
      <c r="G61" s="86">
        <f t="shared" si="0"/>
        <v>0</v>
      </c>
    </row>
    <row r="62" spans="1:9" x14ac:dyDescent="0.25">
      <c r="A62" s="95" t="s">
        <v>86</v>
      </c>
      <c r="B62" s="96"/>
      <c r="C62" s="110">
        <v>1060701000</v>
      </c>
      <c r="D62" s="494">
        <f>IFERROR(VLOOKUP(C62,[17]TB!$C$11:$Z$276,24,FALSE),0)</f>
        <v>330000</v>
      </c>
      <c r="E62" s="494">
        <f>IFERROR(VLOOKUP(C62,[17]TB!$C$11:$AA$276,25,FALSE),0)</f>
        <v>0</v>
      </c>
      <c r="G62" s="86">
        <f t="shared" si="0"/>
        <v>330000</v>
      </c>
    </row>
    <row r="63" spans="1:9" x14ac:dyDescent="0.25">
      <c r="A63" s="95" t="s">
        <v>101</v>
      </c>
      <c r="B63" s="96"/>
      <c r="C63" s="110">
        <v>1060702000</v>
      </c>
      <c r="D63" s="494">
        <f>IFERROR(VLOOKUP(C63,[17]TB!$C$11:$Z$276,24,FALSE),0)</f>
        <v>0</v>
      </c>
      <c r="E63" s="494">
        <f>IFERROR(VLOOKUP(C63,[17]TB!$C$11:$AA$276,25,FALSE),0)</f>
        <v>0</v>
      </c>
      <c r="G63" s="86">
        <f t="shared" si="0"/>
        <v>0</v>
      </c>
    </row>
    <row r="64" spans="1:9" x14ac:dyDescent="0.25">
      <c r="A64" s="147" t="s">
        <v>417</v>
      </c>
      <c r="B64" s="148"/>
      <c r="C64" s="149">
        <v>1060803000</v>
      </c>
      <c r="D64" s="494">
        <f>IFERROR(VLOOKUP(C64,[17]TB!$C$11:$Z$276,24,FALSE),0)</f>
        <v>577680</v>
      </c>
      <c r="E64" s="494">
        <f>IFERROR(VLOOKUP(C64,[17]TB!$C$11:$AA$276,25,FALSE),0)</f>
        <v>0</v>
      </c>
      <c r="G64" s="86">
        <f t="shared" si="0"/>
        <v>577680</v>
      </c>
    </row>
    <row r="65" spans="1:7" x14ac:dyDescent="0.25">
      <c r="A65" s="95" t="s">
        <v>25</v>
      </c>
      <c r="B65" s="96"/>
      <c r="C65" s="110">
        <v>1060502000</v>
      </c>
      <c r="D65" s="494">
        <f>IFERROR(VLOOKUP(C65,[17]TB!$C$11:$Z$276,24,FALSE),0)</f>
        <v>10848086.25</v>
      </c>
      <c r="E65" s="494">
        <f>IFERROR(VLOOKUP(C65,[17]TB!$C$11:$AA$276,25,FALSE),0)</f>
        <v>0</v>
      </c>
      <c r="G65" s="86">
        <f t="shared" si="0"/>
        <v>10848086.25</v>
      </c>
    </row>
    <row r="66" spans="1:7" x14ac:dyDescent="0.25">
      <c r="A66" s="95" t="s">
        <v>102</v>
      </c>
      <c r="B66" s="96"/>
      <c r="C66" s="110">
        <v>1060503000</v>
      </c>
      <c r="D66" s="494">
        <f>IFERROR(VLOOKUP(C66,[17]TB!$C$11:$Z$276,24,FALSE),0)</f>
        <v>51002202.969999999</v>
      </c>
      <c r="E66" s="494">
        <f>IFERROR(VLOOKUP(C66,[17]TB!$C$11:$AA$276,25,FALSE),0)</f>
        <v>0</v>
      </c>
      <c r="G66" s="86">
        <f t="shared" si="0"/>
        <v>51002202.969999999</v>
      </c>
    </row>
    <row r="67" spans="1:7" x14ac:dyDescent="0.25">
      <c r="A67" s="95" t="s">
        <v>26</v>
      </c>
      <c r="B67" s="96"/>
      <c r="C67" s="110">
        <v>1060507000</v>
      </c>
      <c r="D67" s="494">
        <f>IFERROR(VLOOKUP(C67,[17]TB!$C$11:$Z$276,24,FALSE),0)</f>
        <v>8181442.96</v>
      </c>
      <c r="E67" s="494">
        <f>IFERROR(VLOOKUP(C67,[17]TB!$C$11:$AA$276,25,FALSE),0)</f>
        <v>0</v>
      </c>
      <c r="G67" s="86">
        <f t="shared" si="0"/>
        <v>8181442.96</v>
      </c>
    </row>
    <row r="68" spans="1:7" x14ac:dyDescent="0.25">
      <c r="A68" s="95" t="s">
        <v>103</v>
      </c>
      <c r="B68" s="96"/>
      <c r="C68" s="110">
        <v>1060509000</v>
      </c>
      <c r="D68" s="494">
        <f>IFERROR(VLOOKUP(C68,[17]TB!$C$11:$Z$276,24,FALSE),0)</f>
        <v>0</v>
      </c>
      <c r="E68" s="494">
        <f>IFERROR(VLOOKUP(C68,[17]TB!$C$11:$AA$276,25,FALSE),0)</f>
        <v>0</v>
      </c>
      <c r="G68" s="86">
        <f t="shared" si="0"/>
        <v>0</v>
      </c>
    </row>
    <row r="69" spans="1:7" x14ac:dyDescent="0.25">
      <c r="A69" s="95" t="s">
        <v>104</v>
      </c>
      <c r="B69" s="96"/>
      <c r="C69" s="110">
        <v>1060511000</v>
      </c>
      <c r="D69" s="494">
        <f>IFERROR(VLOOKUP(C69,[17]TB!$C$11:$Z$276,24,FALSE),0)</f>
        <v>0</v>
      </c>
      <c r="E69" s="494">
        <f>IFERROR(VLOOKUP(C69,[17]TB!$C$11:$AA$276,25,FALSE),0)</f>
        <v>0</v>
      </c>
      <c r="G69" s="86">
        <f t="shared" si="0"/>
        <v>0</v>
      </c>
    </row>
    <row r="70" spans="1:7" x14ac:dyDescent="0.25">
      <c r="A70" s="95" t="s">
        <v>27</v>
      </c>
      <c r="B70" s="96"/>
      <c r="C70" s="110">
        <v>1060513000</v>
      </c>
      <c r="D70" s="494">
        <f>IFERROR(VLOOKUP(C70,[17]TB!$C$11:$Z$276,24,FALSE),0)</f>
        <v>158769</v>
      </c>
      <c r="E70" s="494">
        <f>IFERROR(VLOOKUP(C70,[17]TB!$C$11:$AA$276,25,FALSE),0)</f>
        <v>0</v>
      </c>
      <c r="G70" s="86">
        <f t="shared" si="0"/>
        <v>158769</v>
      </c>
    </row>
    <row r="71" spans="1:7" x14ac:dyDescent="0.25">
      <c r="A71" s="95" t="s">
        <v>265</v>
      </c>
      <c r="B71" s="96"/>
      <c r="C71" s="110">
        <v>1060514000</v>
      </c>
      <c r="D71" s="494">
        <f>IFERROR(VLOOKUP(C71,[17]TB!$C$11:$Z$276,24,FALSE),0)</f>
        <v>435078.56</v>
      </c>
      <c r="E71" s="494">
        <f>IFERROR(VLOOKUP(C71,[17]TB!$C$11:$AA$276,25,FALSE),0)</f>
        <v>0</v>
      </c>
      <c r="G71" s="86">
        <f t="shared" si="0"/>
        <v>435078.56</v>
      </c>
    </row>
    <row r="72" spans="1:7" x14ac:dyDescent="0.25">
      <c r="A72" s="95" t="s">
        <v>105</v>
      </c>
      <c r="B72" s="96"/>
      <c r="C72" s="110">
        <v>1060599000</v>
      </c>
      <c r="D72" s="494">
        <f>IFERROR(VLOOKUP(C72,[17]TB!$C$11:$Z$276,24,FALSE),0)</f>
        <v>1887336.87</v>
      </c>
      <c r="E72" s="494">
        <f>IFERROR(VLOOKUP(C72,[17]TB!$C$11:$AA$276,25,FALSE),0)</f>
        <v>0</v>
      </c>
      <c r="G72" s="86">
        <f t="shared" si="0"/>
        <v>1887336.87</v>
      </c>
    </row>
    <row r="73" spans="1:7" x14ac:dyDescent="0.25">
      <c r="A73" s="95" t="s">
        <v>28</v>
      </c>
      <c r="B73" s="96"/>
      <c r="C73" s="110">
        <v>1060601000</v>
      </c>
      <c r="D73" s="494">
        <f>IFERROR(VLOOKUP(C73,[17]TB!$C$11:$Z$276,24,FALSE),0)</f>
        <v>53384186.759999998</v>
      </c>
      <c r="E73" s="494">
        <f>IFERROR(VLOOKUP(C73,[17]TB!$C$11:$AA$276,25,FALSE),0)</f>
        <v>0</v>
      </c>
      <c r="G73" s="86">
        <f t="shared" si="0"/>
        <v>53384186.759999998</v>
      </c>
    </row>
    <row r="74" spans="1:7" x14ac:dyDescent="0.25">
      <c r="A74" s="95" t="s">
        <v>87</v>
      </c>
      <c r="B74" s="96"/>
      <c r="C74" s="110">
        <v>1069999000</v>
      </c>
      <c r="D74" s="494">
        <f>IFERROR(VLOOKUP(C74,[17]TB!$C$11:$Z$276,24,FALSE),0)</f>
        <v>0</v>
      </c>
      <c r="E74" s="494">
        <f>IFERROR(VLOOKUP(C74,[17]TB!$C$11:$AA$276,25,FALSE),0)</f>
        <v>0</v>
      </c>
      <c r="G74" s="86">
        <f t="shared" si="0"/>
        <v>0</v>
      </c>
    </row>
    <row r="75" spans="1:7" x14ac:dyDescent="0.25">
      <c r="A75" s="95" t="s">
        <v>354</v>
      </c>
      <c r="B75" s="96"/>
      <c r="C75" s="110">
        <v>1080102000</v>
      </c>
      <c r="D75" s="494">
        <f>IFERROR(VLOOKUP(C75,[17]TB!$C$11:$Z$276,24,FALSE),0)</f>
        <v>997450</v>
      </c>
      <c r="E75" s="494">
        <f>IFERROR(VLOOKUP(C75,[17]TB!$C$11:$AA$276,25,FALSE),0)</f>
        <v>0</v>
      </c>
      <c r="G75" s="86">
        <f t="shared" si="0"/>
        <v>997450</v>
      </c>
    </row>
    <row r="76" spans="1:7" x14ac:dyDescent="0.25">
      <c r="A76" s="95" t="s">
        <v>226</v>
      </c>
      <c r="B76" s="96"/>
      <c r="C76" s="110">
        <v>1990201000</v>
      </c>
      <c r="D76" s="494">
        <f>IFERROR(VLOOKUP(C76,[17]TB!$C$11:$Z$276,24,FALSE),0)</f>
        <v>82068.67</v>
      </c>
      <c r="E76" s="494">
        <f>IFERROR(VLOOKUP(C76,[17]TB!$C$11:$AA$276,25,FALSE),0)</f>
        <v>0</v>
      </c>
      <c r="G76" s="86">
        <f t="shared" ref="G76:G140" si="1">SUM(D76:E76)</f>
        <v>82068.67</v>
      </c>
    </row>
    <row r="77" spans="1:7" x14ac:dyDescent="0.25">
      <c r="A77" s="95" t="s">
        <v>225</v>
      </c>
      <c r="B77" s="96"/>
      <c r="C77" s="110">
        <v>1990202000</v>
      </c>
      <c r="D77" s="494">
        <f>IFERROR(VLOOKUP(C77,[17]TB!$C$11:$Z$276,24,FALSE),0)</f>
        <v>104861.57</v>
      </c>
      <c r="E77" s="494">
        <f>IFERROR(VLOOKUP(C77,[17]TB!$C$11:$AA$276,25,FALSE),0)</f>
        <v>0</v>
      </c>
      <c r="G77" s="86">
        <f t="shared" si="1"/>
        <v>104861.57</v>
      </c>
    </row>
    <row r="78" spans="1:7" x14ac:dyDescent="0.25">
      <c r="A78" s="95" t="s">
        <v>224</v>
      </c>
      <c r="B78" s="96"/>
      <c r="C78" s="110">
        <v>1990205000</v>
      </c>
      <c r="D78" s="494">
        <f>IFERROR(VLOOKUP(C78,[17]TB!$C$11:$Z$276,24,FALSE),0)</f>
        <v>748200.5</v>
      </c>
      <c r="E78" s="494">
        <f>IFERROR(VLOOKUP(C78,[17]TB!$C$11:$AA$276,25,FALSE),0)</f>
        <v>0</v>
      </c>
      <c r="G78" s="86">
        <f t="shared" si="1"/>
        <v>748200.5</v>
      </c>
    </row>
    <row r="79" spans="1:7" x14ac:dyDescent="0.25">
      <c r="A79" s="169" t="s">
        <v>459</v>
      </c>
      <c r="B79" s="169"/>
      <c r="C79" s="166">
        <v>1990210001</v>
      </c>
      <c r="D79" s="494">
        <f>IFERROR(VLOOKUP(C79,[17]TB!$C$11:$Z$276,24,FALSE),0)</f>
        <v>0</v>
      </c>
      <c r="E79" s="494">
        <f>IFERROR(VLOOKUP(C79,[17]TB!$C$11:$AA$276,25,FALSE),0)</f>
        <v>0</v>
      </c>
      <c r="G79" s="86">
        <f t="shared" si="1"/>
        <v>0</v>
      </c>
    </row>
    <row r="80" spans="1:7" x14ac:dyDescent="0.25">
      <c r="A80" s="95" t="s">
        <v>383</v>
      </c>
      <c r="B80" s="96"/>
      <c r="C80" s="110">
        <v>1060299100</v>
      </c>
      <c r="D80" s="494">
        <f>IFERROR(VLOOKUP(C80,[17]TB!$C$11:$Z$276,24,FALSE),0)</f>
        <v>0</v>
      </c>
      <c r="E80" s="494">
        <f>IFERROR(VLOOKUP(C80,[17]TB!$C$11:$AA$276,25,FALSE),0)</f>
        <v>477377.28000000003</v>
      </c>
      <c r="G80" s="86">
        <f t="shared" si="1"/>
        <v>477377.28000000003</v>
      </c>
    </row>
    <row r="81" spans="1:7" x14ac:dyDescent="0.25">
      <c r="A81" s="95" t="s">
        <v>359</v>
      </c>
      <c r="B81" s="96"/>
      <c r="C81" s="110">
        <v>1060401100</v>
      </c>
      <c r="D81" s="494">
        <f>IFERROR(VLOOKUP(C81,[17]TB!$C$11:$Z$276,24,FALSE),0)</f>
        <v>0</v>
      </c>
      <c r="E81" s="494">
        <f>IFERROR(VLOOKUP(C81,[17]TB!$C$11:$AA$276,25,FALSE),0)</f>
        <v>41357030.310000002</v>
      </c>
      <c r="G81" s="86">
        <f t="shared" si="1"/>
        <v>41357030.310000002</v>
      </c>
    </row>
    <row r="82" spans="1:7" x14ac:dyDescent="0.25">
      <c r="A82" s="95" t="s">
        <v>106</v>
      </c>
      <c r="B82" s="96"/>
      <c r="C82" s="110">
        <v>1060499100</v>
      </c>
      <c r="D82" s="494">
        <f>IFERROR(VLOOKUP(C82,[17]TB!$C$11:$Z$276,24,FALSE),0)</f>
        <v>0</v>
      </c>
      <c r="E82" s="494">
        <f>IFERROR(VLOOKUP(C82,[17]TB!$C$11:$AA$276,25,FALSE),0)</f>
        <v>5072765.9800000004</v>
      </c>
      <c r="G82" s="86">
        <f t="shared" si="1"/>
        <v>5072765.9800000004</v>
      </c>
    </row>
    <row r="83" spans="1:7" x14ac:dyDescent="0.25">
      <c r="A83" s="95" t="s">
        <v>89</v>
      </c>
      <c r="B83" s="96"/>
      <c r="C83" s="110">
        <v>1060701100</v>
      </c>
      <c r="D83" s="494">
        <f>IFERROR(VLOOKUP(C83,[17]TB!$C$11:$Z$276,24,FALSE),0)</f>
        <v>0</v>
      </c>
      <c r="E83" s="494">
        <f>IFERROR(VLOOKUP(C83,[17]TB!$C$11:$AA$276,25,FALSE),0)</f>
        <v>179124.09</v>
      </c>
      <c r="G83" s="86">
        <f t="shared" si="1"/>
        <v>179124.09</v>
      </c>
    </row>
    <row r="84" spans="1:7" x14ac:dyDescent="0.25">
      <c r="A84" s="95" t="s">
        <v>555</v>
      </c>
      <c r="B84" s="96"/>
      <c r="C84" s="110">
        <v>10607012000</v>
      </c>
      <c r="D84" s="494">
        <f>IFERROR(VLOOKUP(C84,[17]TB!$C$11:$Z$276,24,FALSE),0)</f>
        <v>0</v>
      </c>
      <c r="E84" s="494">
        <f>IFERROR(VLOOKUP(C84,[17]TB!$C$11:$AA$276,25,FALSE),0)</f>
        <v>0</v>
      </c>
      <c r="G84" s="86">
        <f t="shared" si="1"/>
        <v>0</v>
      </c>
    </row>
    <row r="85" spans="1:7" x14ac:dyDescent="0.25">
      <c r="A85" s="95" t="s">
        <v>107</v>
      </c>
      <c r="B85" s="96"/>
      <c r="C85" s="110">
        <v>1060702100</v>
      </c>
      <c r="D85" s="494">
        <f>IFERROR(VLOOKUP(C85,[17]TB!$C$11:$Z$276,24,FALSE),0)</f>
        <v>0</v>
      </c>
      <c r="E85" s="494">
        <f>IFERROR(VLOOKUP(C85,[17]TB!$C$11:$AA$276,25,FALSE),0)</f>
        <v>0</v>
      </c>
      <c r="G85" s="86">
        <f t="shared" si="1"/>
        <v>0</v>
      </c>
    </row>
    <row r="86" spans="1:7" x14ac:dyDescent="0.25">
      <c r="A86" s="95" t="s">
        <v>88</v>
      </c>
      <c r="B86" s="96"/>
      <c r="C86" s="110">
        <v>1060502100</v>
      </c>
      <c r="D86" s="494">
        <f>IFERROR(VLOOKUP(C86,[17]TB!$C$11:$Z$276,24,FALSE),0)</f>
        <v>0</v>
      </c>
      <c r="E86" s="494">
        <f>IFERROR(VLOOKUP(C86,[17]TB!$C$11:$AA$276,25,FALSE),0)</f>
        <v>8194329.8899999997</v>
      </c>
      <c r="G86" s="86">
        <f t="shared" si="1"/>
        <v>8194329.8899999997</v>
      </c>
    </row>
    <row r="87" spans="1:7" x14ac:dyDescent="0.25">
      <c r="A87" s="95" t="s">
        <v>399</v>
      </c>
      <c r="B87" s="96"/>
      <c r="C87" s="110">
        <v>1060503100</v>
      </c>
      <c r="D87" s="494">
        <f>IFERROR(VLOOKUP(C87,[17]TB!$C$11:$Z$276,24,FALSE),0)</f>
        <v>0</v>
      </c>
      <c r="E87" s="494">
        <f>IFERROR(VLOOKUP(C87,[17]TB!$C$11:$AA$276,25,FALSE),0)</f>
        <v>22246659.5</v>
      </c>
      <c r="G87" s="86">
        <f t="shared" si="1"/>
        <v>22246659.5</v>
      </c>
    </row>
    <row r="88" spans="1:7" x14ac:dyDescent="0.25">
      <c r="A88" s="95" t="s">
        <v>90</v>
      </c>
      <c r="B88" s="96"/>
      <c r="C88" s="110">
        <v>1060507100</v>
      </c>
      <c r="D88" s="494">
        <f>IFERROR(VLOOKUP(C88,[17]TB!$C$11:$Z$276,24,FALSE),0)</f>
        <v>0</v>
      </c>
      <c r="E88" s="494">
        <f>IFERROR(VLOOKUP(C88,[17]TB!$C$11:$AA$276,25,FALSE),0)</f>
        <v>2063972.97</v>
      </c>
      <c r="G88" s="86">
        <f t="shared" si="1"/>
        <v>2063972.97</v>
      </c>
    </row>
    <row r="89" spans="1:7" x14ac:dyDescent="0.25">
      <c r="A89" s="95" t="s">
        <v>108</v>
      </c>
      <c r="B89" s="99"/>
      <c r="C89" s="110">
        <v>1060509100</v>
      </c>
      <c r="D89" s="494">
        <f>IFERROR(VLOOKUP(C89,[17]TB!$C$11:$Z$276,24,FALSE),0)</f>
        <v>0</v>
      </c>
      <c r="E89" s="494">
        <f>IFERROR(VLOOKUP(C89,[17]TB!$C$11:$AA$276,25,FALSE),0)</f>
        <v>0</v>
      </c>
      <c r="G89" s="86">
        <f t="shared" si="1"/>
        <v>0</v>
      </c>
    </row>
    <row r="90" spans="1:7" x14ac:dyDescent="0.25">
      <c r="A90" s="95" t="s">
        <v>109</v>
      </c>
      <c r="B90" s="96"/>
      <c r="C90" s="110">
        <v>1060511100</v>
      </c>
      <c r="D90" s="494">
        <f>IFERROR(VLOOKUP(C90,[17]TB!$C$11:$Z$276,24,FALSE),0)</f>
        <v>0</v>
      </c>
      <c r="E90" s="494">
        <f>IFERROR(VLOOKUP(C90,[17]TB!$C$11:$AA$276,25,FALSE),0)</f>
        <v>0</v>
      </c>
      <c r="G90" s="86">
        <f t="shared" si="1"/>
        <v>0</v>
      </c>
    </row>
    <row r="91" spans="1:7" x14ac:dyDescent="0.25">
      <c r="A91" s="95" t="s">
        <v>91</v>
      </c>
      <c r="B91" s="96"/>
      <c r="C91" s="110">
        <v>1060513100</v>
      </c>
      <c r="D91" s="494">
        <f>IFERROR(VLOOKUP(C91,[17]TB!$C$11:$Z$276,24,FALSE),0)</f>
        <v>0</v>
      </c>
      <c r="E91" s="494">
        <f>IFERROR(VLOOKUP(C91,[17]TB!$C$11:$AA$276,25,FALSE),0)</f>
        <v>150830.54999999999</v>
      </c>
      <c r="G91" s="86">
        <f t="shared" si="1"/>
        <v>150830.54999999999</v>
      </c>
    </row>
    <row r="92" spans="1:7" x14ac:dyDescent="0.25">
      <c r="A92" s="95" t="s">
        <v>266</v>
      </c>
      <c r="B92" s="96"/>
      <c r="C92" s="110">
        <v>1060514100</v>
      </c>
      <c r="D92" s="494">
        <f>IFERROR(VLOOKUP(C92,[17]TB!$C$11:$Z$276,24,FALSE),0)</f>
        <v>0</v>
      </c>
      <c r="E92" s="494">
        <f>IFERROR(VLOOKUP(C92,[17]TB!$C$11:$AA$276,25,FALSE),0)</f>
        <v>269936.06</v>
      </c>
      <c r="G92" s="86">
        <f t="shared" si="1"/>
        <v>269936.06</v>
      </c>
    </row>
    <row r="93" spans="1:7" x14ac:dyDescent="0.25">
      <c r="A93" s="95" t="s">
        <v>110</v>
      </c>
      <c r="B93" s="96"/>
      <c r="C93" s="110">
        <v>1060599100</v>
      </c>
      <c r="D93" s="494">
        <f>IFERROR(VLOOKUP(C93,[17]TB!$C$11:$Z$276,24,FALSE),0)</f>
        <v>0</v>
      </c>
      <c r="E93" s="494">
        <f>IFERROR(VLOOKUP(C93,[17]TB!$C$11:$AA$276,25,FALSE),0)</f>
        <v>781714.57</v>
      </c>
      <c r="G93" s="86">
        <f t="shared" si="1"/>
        <v>781714.57</v>
      </c>
    </row>
    <row r="94" spans="1:7" x14ac:dyDescent="0.25">
      <c r="A94" s="95" t="s">
        <v>92</v>
      </c>
      <c r="B94" s="96"/>
      <c r="C94" s="110">
        <v>1060601100</v>
      </c>
      <c r="D94" s="494">
        <f>IFERROR(VLOOKUP(C94,[17]TB!$C$11:$Z$276,24,FALSE),0)</f>
        <v>0</v>
      </c>
      <c r="E94" s="494">
        <f>IFERROR(VLOOKUP(C94,[17]TB!$C$11:$AA$276,25,FALSE),0)</f>
        <v>29012774.379999999</v>
      </c>
      <c r="G94" s="86">
        <f t="shared" si="1"/>
        <v>29012774.379999999</v>
      </c>
    </row>
    <row r="95" spans="1:7" x14ac:dyDescent="0.25">
      <c r="A95" s="95" t="s">
        <v>477</v>
      </c>
      <c r="B95" s="96"/>
      <c r="C95" s="110">
        <v>1060501100</v>
      </c>
      <c r="D95" s="494">
        <f>IFERROR(VLOOKUP(C95,[17]TB!$C$11:$Z$276,24,FALSE),0)</f>
        <v>0</v>
      </c>
      <c r="E95" s="494">
        <f>IFERROR(VLOOKUP(C95,[17]TB!$C$11:$AA$276,25,FALSE),0)</f>
        <v>0</v>
      </c>
      <c r="G95" s="86">
        <f t="shared" si="1"/>
        <v>0</v>
      </c>
    </row>
    <row r="96" spans="1:7" x14ac:dyDescent="0.25">
      <c r="A96" s="95" t="s">
        <v>93</v>
      </c>
      <c r="B96" s="96"/>
      <c r="C96" s="110">
        <v>1069999100</v>
      </c>
      <c r="D96" s="494">
        <f>IFERROR(VLOOKUP(C96,[17]TB!$C$11:$Z$276,24,FALSE),0)</f>
        <v>0</v>
      </c>
      <c r="E96" s="494">
        <f>IFERROR(VLOOKUP(C96,[17]TB!$C$11:$AA$276,25,FALSE),0)</f>
        <v>0</v>
      </c>
      <c r="G96" s="86">
        <f t="shared" si="1"/>
        <v>0</v>
      </c>
    </row>
    <row r="97" spans="1:7" x14ac:dyDescent="0.25">
      <c r="A97" s="147" t="s">
        <v>418</v>
      </c>
      <c r="B97" s="148"/>
      <c r="C97" s="149">
        <v>1060803100</v>
      </c>
      <c r="D97" s="494">
        <f>IFERROR(VLOOKUP(C97,[17]TB!$C$11:$Z$276,24,FALSE),0)</f>
        <v>0</v>
      </c>
      <c r="E97" s="494">
        <f>IFERROR(VLOOKUP(C97,[17]TB!$C$11:$AA$276,25,FALSE),0)</f>
        <v>42892.5</v>
      </c>
      <c r="G97" s="86">
        <f t="shared" si="1"/>
        <v>42892.5</v>
      </c>
    </row>
    <row r="98" spans="1:7" x14ac:dyDescent="0.25">
      <c r="A98" s="95" t="s">
        <v>355</v>
      </c>
      <c r="B98" s="96"/>
      <c r="C98" s="110">
        <v>1080102100</v>
      </c>
      <c r="D98" s="494">
        <f>IFERROR(VLOOKUP(C98,[17]TB!$C$11:$Z$276,24,FALSE),0)</f>
        <v>0</v>
      </c>
      <c r="E98" s="494">
        <f>IFERROR(VLOOKUP(C98,[17]TB!$C$11:$AA$276,25,FALSE),0)</f>
        <v>94757.759999999995</v>
      </c>
      <c r="G98" s="86">
        <f t="shared" si="1"/>
        <v>94757.759999999995</v>
      </c>
    </row>
    <row r="99" spans="1:7" x14ac:dyDescent="0.25">
      <c r="A99" s="95" t="s">
        <v>230</v>
      </c>
      <c r="B99" s="96"/>
      <c r="C99" s="136">
        <v>1069803000</v>
      </c>
      <c r="D99" s="494">
        <f>IFERROR(VLOOKUP(C99,[17]TB!$C$11:$Z$276,24,FALSE),0)</f>
        <v>13457915.16</v>
      </c>
      <c r="E99" s="494">
        <f>IFERROR(VLOOKUP(C99,[17]TB!$C$11:$AA$276,25,FALSE),0)</f>
        <v>0</v>
      </c>
      <c r="G99" s="86">
        <f t="shared" si="1"/>
        <v>13457915.16</v>
      </c>
    </row>
    <row r="100" spans="1:7" x14ac:dyDescent="0.25">
      <c r="A100" s="95" t="s">
        <v>29</v>
      </c>
      <c r="B100" s="96"/>
      <c r="C100" s="110">
        <v>2010101000</v>
      </c>
      <c r="D100" s="494">
        <f>IFERROR(VLOOKUP(C100,[17]TB!$C$11:$Z$276,24,FALSE),0)</f>
        <v>0</v>
      </c>
      <c r="E100" s="494">
        <f>IFERROR(VLOOKUP(C100,[17]TB!$C$11:$AA$276,25,FALSE),0)</f>
        <v>185060554.27000001</v>
      </c>
      <c r="G100" s="86">
        <f t="shared" si="1"/>
        <v>185060554.27000001</v>
      </c>
    </row>
    <row r="101" spans="1:7" x14ac:dyDescent="0.25">
      <c r="A101" s="147" t="s">
        <v>437</v>
      </c>
      <c r="B101" s="148"/>
      <c r="C101" s="149">
        <v>2010107000</v>
      </c>
      <c r="D101" s="494">
        <f>IFERROR(VLOOKUP(C101,[17]TB!$C$11:$Z$276,24,FALSE),0)</f>
        <v>0</v>
      </c>
      <c r="E101" s="494">
        <f>IFERROR(VLOOKUP(C101,[17]TB!$C$11:$AA$276,25,FALSE),0)</f>
        <v>149560</v>
      </c>
      <c r="G101" s="86">
        <f t="shared" si="1"/>
        <v>149560</v>
      </c>
    </row>
    <row r="102" spans="1:7" x14ac:dyDescent="0.25">
      <c r="A102" s="95" t="s">
        <v>508</v>
      </c>
      <c r="B102" s="96"/>
      <c r="C102" s="110">
        <v>2040104000</v>
      </c>
      <c r="D102" s="494">
        <f>IFERROR(VLOOKUP(C102,[17]TB!$C$11:$Z$276,24,FALSE),0)</f>
        <v>0</v>
      </c>
      <c r="E102" s="494">
        <f>IFERROR(VLOOKUP(C102,[17]TB!$C$11:$AA$276,25,FALSE),0)</f>
        <v>6260372.3499999996</v>
      </c>
      <c r="G102" s="86">
        <f t="shared" si="1"/>
        <v>6260372.3499999996</v>
      </c>
    </row>
    <row r="103" spans="1:7" x14ac:dyDescent="0.25">
      <c r="A103" s="95" t="s">
        <v>30</v>
      </c>
      <c r="B103" s="99"/>
      <c r="C103" s="110">
        <v>2020101000</v>
      </c>
      <c r="D103" s="494">
        <f>IFERROR(VLOOKUP(C103,[17]TB!$C$11:$Z$276,24,FALSE),0)</f>
        <v>0</v>
      </c>
      <c r="E103" s="494">
        <f>IFERROR(VLOOKUP(C103,[17]TB!$C$11:$AA$276,25,FALSE),0)</f>
        <v>1025567.56</v>
      </c>
      <c r="G103" s="86">
        <f t="shared" si="1"/>
        <v>1025567.56</v>
      </c>
    </row>
    <row r="104" spans="1:7" x14ac:dyDescent="0.25">
      <c r="A104" s="95" t="s">
        <v>31</v>
      </c>
      <c r="B104" s="99"/>
      <c r="C104" s="110">
        <v>2020102000</v>
      </c>
      <c r="D104" s="494">
        <f>IFERROR(VLOOKUP(C104,[17]TB!$C$11:$Z$276,24,FALSE),0)</f>
        <v>0</v>
      </c>
      <c r="E104" s="494">
        <f>IFERROR(VLOOKUP(C104,[17]TB!$C$11:$AA$276,25,FALSE),0)</f>
        <v>0</v>
      </c>
      <c r="G104" s="86">
        <f t="shared" si="1"/>
        <v>0</v>
      </c>
    </row>
    <row r="105" spans="1:7" x14ac:dyDescent="0.25">
      <c r="A105" s="95" t="s">
        <v>391</v>
      </c>
      <c r="B105" s="99"/>
      <c r="C105" s="136">
        <v>2020102001</v>
      </c>
      <c r="D105" s="494">
        <f>IFERROR(VLOOKUP(C105,[17]TB!$C$11:$Z$276,24,FALSE),0)</f>
        <v>0</v>
      </c>
      <c r="E105" s="494">
        <f>IFERROR(VLOOKUP(C105,[17]TB!$C$11:$AA$276,25,FALSE),0)</f>
        <v>71741.22</v>
      </c>
      <c r="G105" s="86">
        <f t="shared" si="1"/>
        <v>71741.22</v>
      </c>
    </row>
    <row r="106" spans="1:7" x14ac:dyDescent="0.25">
      <c r="A106" s="95" t="s">
        <v>392</v>
      </c>
      <c r="B106" s="99"/>
      <c r="C106" s="136">
        <v>2020102002</v>
      </c>
      <c r="D106" s="494">
        <f>IFERROR(VLOOKUP(C106,[17]TB!$C$11:$Z$276,24,FALSE),0)</f>
        <v>0</v>
      </c>
      <c r="E106" s="494">
        <f>IFERROR(VLOOKUP(C106,[17]TB!$C$11:$AA$276,25,FALSE),0)</f>
        <v>0</v>
      </c>
      <c r="G106" s="86">
        <f t="shared" si="1"/>
        <v>0</v>
      </c>
    </row>
    <row r="107" spans="1:7" x14ac:dyDescent="0.25">
      <c r="A107" s="95" t="s">
        <v>393</v>
      </c>
      <c r="B107" s="96"/>
      <c r="C107" s="136">
        <v>2020102003</v>
      </c>
      <c r="D107" s="494">
        <f>IFERROR(VLOOKUP(C107,[17]TB!$C$11:$Z$276,24,FALSE),0)</f>
        <v>0</v>
      </c>
      <c r="E107" s="494">
        <f>IFERROR(VLOOKUP(C107,[17]TB!$C$11:$AA$276,25,FALSE),0)</f>
        <v>65473.78</v>
      </c>
      <c r="G107" s="86">
        <f t="shared" si="1"/>
        <v>65473.78</v>
      </c>
    </row>
    <row r="108" spans="1:7" x14ac:dyDescent="0.25">
      <c r="A108" s="95" t="s">
        <v>394</v>
      </c>
      <c r="B108" s="99"/>
      <c r="C108" s="136">
        <v>2020102004</v>
      </c>
      <c r="D108" s="494">
        <f>IFERROR(VLOOKUP(C108,[17]TB!$C$11:$Z$276,24,FALSE),0)</f>
        <v>0</v>
      </c>
      <c r="E108" s="494">
        <f>IFERROR(VLOOKUP(C108,[17]TB!$C$11:$AA$276,25,FALSE),0)</f>
        <v>1705.17</v>
      </c>
      <c r="G108" s="86">
        <f t="shared" si="1"/>
        <v>1705.17</v>
      </c>
    </row>
    <row r="109" spans="1:7" x14ac:dyDescent="0.25">
      <c r="A109" s="95" t="s">
        <v>32</v>
      </c>
      <c r="B109" s="99"/>
      <c r="C109" s="110">
        <v>2020103000</v>
      </c>
      <c r="D109" s="494">
        <f>IFERROR(VLOOKUP(C109,[17]TB!$C$11:$Z$276,24,FALSE),0)</f>
        <v>0</v>
      </c>
      <c r="E109" s="494">
        <f>IFERROR(VLOOKUP(C109,[17]TB!$C$11:$AA$276,25,FALSE),0)</f>
        <v>0</v>
      </c>
      <c r="G109" s="86">
        <f t="shared" si="1"/>
        <v>0</v>
      </c>
    </row>
    <row r="110" spans="1:7" x14ac:dyDescent="0.25">
      <c r="A110" s="95" t="s">
        <v>395</v>
      </c>
      <c r="B110" s="99"/>
      <c r="C110" s="136">
        <v>2020103001</v>
      </c>
      <c r="D110" s="494">
        <f>IFERROR(VLOOKUP(C110,[17]TB!$C$11:$Z$276,24,FALSE),0)</f>
        <v>0</v>
      </c>
      <c r="E110" s="494">
        <f>IFERROR(VLOOKUP(C110,[17]TB!$C$11:$AA$276,25,FALSE),0)</f>
        <v>800648.79</v>
      </c>
      <c r="G110" s="86">
        <f t="shared" si="1"/>
        <v>800648.79</v>
      </c>
    </row>
    <row r="111" spans="1:7" x14ac:dyDescent="0.25">
      <c r="A111" s="95" t="s">
        <v>396</v>
      </c>
      <c r="B111" s="96"/>
      <c r="C111" s="136">
        <v>2020103002</v>
      </c>
      <c r="D111" s="494">
        <f>IFERROR(VLOOKUP(C111,[17]TB!$C$11:$Z$276,24,FALSE),0)</f>
        <v>0</v>
      </c>
      <c r="E111" s="494">
        <f>IFERROR(VLOOKUP(C111,[17]TB!$C$11:$AA$276,25,FALSE),0)</f>
        <v>31454.42</v>
      </c>
      <c r="G111" s="86">
        <f t="shared" si="1"/>
        <v>31454.42</v>
      </c>
    </row>
    <row r="112" spans="1:7" x14ac:dyDescent="0.25">
      <c r="A112" s="95" t="s">
        <v>397</v>
      </c>
      <c r="B112" s="96"/>
      <c r="C112" s="136">
        <v>2020103003</v>
      </c>
      <c r="D112" s="494">
        <f>IFERROR(VLOOKUP(C112,[17]TB!$C$11:$Z$276,24,FALSE),0)</f>
        <v>0</v>
      </c>
      <c r="E112" s="494">
        <f>IFERROR(VLOOKUP(C112,[17]TB!$C$11:$AA$276,25,FALSE),0)</f>
        <v>36203.54</v>
      </c>
      <c r="G112" s="86">
        <f t="shared" si="1"/>
        <v>36203.54</v>
      </c>
    </row>
    <row r="113" spans="1:7" x14ac:dyDescent="0.25">
      <c r="A113" s="95" t="s">
        <v>33</v>
      </c>
      <c r="B113" s="96"/>
      <c r="C113" s="110">
        <v>2020104000</v>
      </c>
      <c r="D113" s="494">
        <f>IFERROR(VLOOKUP(C113,[17]TB!$C$11:$Z$276,24,FALSE),0)</f>
        <v>0</v>
      </c>
      <c r="E113" s="494">
        <f>IFERROR(VLOOKUP(C113,[17]TB!$C$11:$AA$276,25,FALSE),0)</f>
        <v>915693.23</v>
      </c>
      <c r="G113" s="86">
        <f t="shared" si="1"/>
        <v>915693.23</v>
      </c>
    </row>
    <row r="114" spans="1:7" x14ac:dyDescent="0.25">
      <c r="A114" s="95" t="s">
        <v>400</v>
      </c>
      <c r="B114" s="96"/>
      <c r="C114" s="110">
        <v>2020105000</v>
      </c>
      <c r="D114" s="494">
        <f>IFERROR(VLOOKUP(C114,[17]TB!$C$11:$Z$276,24,FALSE),0)</f>
        <v>0</v>
      </c>
      <c r="E114" s="494">
        <f>IFERROR(VLOOKUP(C114,[17]TB!$C$11:$AA$276,25,FALSE),0)</f>
        <v>210000</v>
      </c>
      <c r="G114" s="86">
        <f t="shared" si="1"/>
        <v>210000</v>
      </c>
    </row>
    <row r="115" spans="1:7" x14ac:dyDescent="0.25">
      <c r="A115" s="95" t="s">
        <v>401</v>
      </c>
      <c r="B115" s="96"/>
      <c r="C115" s="110">
        <v>2020106000</v>
      </c>
      <c r="D115" s="494">
        <f>IFERROR(VLOOKUP(C115,[17]TB!$C$11:$Z$276,24,FALSE),0)</f>
        <v>0</v>
      </c>
      <c r="E115" s="494">
        <f>IFERROR(VLOOKUP(C115,[17]TB!$C$11:$AA$276,25,FALSE),0)</f>
        <v>2435287.89</v>
      </c>
      <c r="G115" s="86">
        <f t="shared" si="1"/>
        <v>2435287.89</v>
      </c>
    </row>
    <row r="116" spans="1:7" x14ac:dyDescent="0.25">
      <c r="A116" s="95" t="s">
        <v>34</v>
      </c>
      <c r="B116" s="96"/>
      <c r="C116" s="110">
        <v>2020107000</v>
      </c>
      <c r="D116" s="494">
        <f>IFERROR(VLOOKUP(C116,[17]TB!$C$11:$Z$276,24,FALSE),0)</f>
        <v>0</v>
      </c>
      <c r="E116" s="494">
        <f>IFERROR(VLOOKUP(C116,[17]TB!$C$11:$AA$276,25,FALSE),0)</f>
        <v>11098873.93</v>
      </c>
      <c r="G116" s="86">
        <f t="shared" si="1"/>
        <v>11098873.93</v>
      </c>
    </row>
    <row r="117" spans="1:7" x14ac:dyDescent="0.25">
      <c r="A117" s="95" t="s">
        <v>35</v>
      </c>
      <c r="B117" s="96"/>
      <c r="C117" s="110">
        <v>2030101000</v>
      </c>
      <c r="D117" s="494">
        <f>IFERROR(VLOOKUP(C117,[17]TB!$C$11:$Z$276,24,FALSE),0)</f>
        <v>0</v>
      </c>
      <c r="E117" s="494">
        <f>IFERROR(VLOOKUP(C117,[17]TB!$C$11:$AA$276,25,FALSE),0)</f>
        <v>0</v>
      </c>
      <c r="G117" s="86">
        <f t="shared" si="1"/>
        <v>0</v>
      </c>
    </row>
    <row r="118" spans="1:7" x14ac:dyDescent="0.25">
      <c r="A118" s="95" t="s">
        <v>221</v>
      </c>
      <c r="B118" s="96"/>
      <c r="C118" s="110">
        <v>2030103000</v>
      </c>
      <c r="D118" s="494">
        <f>IFERROR(VLOOKUP(C118,[17]TB!$C$11:$Z$276,24,FALSE),0)</f>
        <v>0</v>
      </c>
      <c r="E118" s="494">
        <f>IFERROR(VLOOKUP(C118,[17]TB!$C$11:$AA$276,25,FALSE),0)</f>
        <v>0</v>
      </c>
      <c r="G118" s="86">
        <f t="shared" si="1"/>
        <v>0</v>
      </c>
    </row>
    <row r="119" spans="1:7" x14ac:dyDescent="0.25">
      <c r="A119" s="95" t="s">
        <v>353</v>
      </c>
      <c r="B119" s="96"/>
      <c r="C119" s="110">
        <v>2030105000</v>
      </c>
      <c r="D119" s="494">
        <f>IFERROR(VLOOKUP(C119,[17]TB!$C$11:$Z$276,24,FALSE),0)</f>
        <v>0</v>
      </c>
      <c r="E119" s="494">
        <f>IFERROR(VLOOKUP(C119,[17]TB!$C$11:$AA$276,25,FALSE),0)</f>
        <v>0</v>
      </c>
      <c r="G119" s="86">
        <f t="shared" si="1"/>
        <v>0</v>
      </c>
    </row>
    <row r="120" spans="1:7" x14ac:dyDescent="0.25">
      <c r="A120" s="95" t="s">
        <v>219</v>
      </c>
      <c r="B120" s="96"/>
      <c r="C120" s="110">
        <v>2040102000</v>
      </c>
      <c r="D120" s="494">
        <f>IFERROR(VLOOKUP(C120,[17]TB!$C$11:$Z$276,24,FALSE),0)</f>
        <v>0</v>
      </c>
      <c r="E120" s="494">
        <f>IFERROR(VLOOKUP(C120,[17]TB!$C$11:$AA$276,25,FALSE),0)</f>
        <v>0</v>
      </c>
      <c r="G120" s="86">
        <f t="shared" si="1"/>
        <v>0</v>
      </c>
    </row>
    <row r="121" spans="1:7" x14ac:dyDescent="0.25">
      <c r="A121" s="95" t="s">
        <v>482</v>
      </c>
      <c r="B121" s="96"/>
      <c r="C121" s="110">
        <v>2010102000</v>
      </c>
      <c r="D121" s="494">
        <f>IFERROR(VLOOKUP(C121,[17]TB!$C$11:$Z$276,24,FALSE),0)</f>
        <v>0</v>
      </c>
      <c r="E121" s="494">
        <f>IFERROR(VLOOKUP(C121,[17]TB!$C$11:$AA$276,25,FALSE),0)</f>
        <v>16276</v>
      </c>
      <c r="G121" s="86">
        <f t="shared" si="1"/>
        <v>16276</v>
      </c>
    </row>
    <row r="122" spans="1:7" x14ac:dyDescent="0.25">
      <c r="A122" s="95" t="s">
        <v>37</v>
      </c>
      <c r="B122" s="96"/>
      <c r="C122" s="110">
        <v>2999999000</v>
      </c>
      <c r="D122" s="494">
        <f>IFERROR(VLOOKUP(C122,[17]TB!$C$11:$Z$276,24,FALSE),0)</f>
        <v>0</v>
      </c>
      <c r="E122" s="494">
        <f>IFERROR(VLOOKUP(C122,[17]TB!$C$11:$AA$276,25,FALSE),0)</f>
        <v>9328622.8800000008</v>
      </c>
      <c r="G122" s="86">
        <f t="shared" si="1"/>
        <v>9328622.8800000008</v>
      </c>
    </row>
    <row r="123" spans="1:7" x14ac:dyDescent="0.25">
      <c r="A123" s="95" t="s">
        <v>243</v>
      </c>
      <c r="B123" s="96"/>
      <c r="C123" s="132">
        <v>3010101000</v>
      </c>
      <c r="D123" s="494">
        <f>IFERROR(VLOOKUP(C123,[17]TB!$C$11:$Z$276,24,FALSE),0)</f>
        <v>0</v>
      </c>
      <c r="E123" s="494">
        <f>IFERROR(VLOOKUP(C123,[17]TB!$C$11:$AA$276,25,FALSE),0)</f>
        <v>114843771</v>
      </c>
      <c r="G123" s="86">
        <f t="shared" si="1"/>
        <v>114843771</v>
      </c>
    </row>
    <row r="124" spans="1:7" x14ac:dyDescent="0.25">
      <c r="A124" s="95" t="s">
        <v>111</v>
      </c>
      <c r="B124" s="96"/>
      <c r="C124" s="110">
        <v>4020106000</v>
      </c>
      <c r="D124" s="494">
        <f>IFERROR(VLOOKUP(C124,[17]TB!$C$11:$Z$276,24,FALSE),0)</f>
        <v>0</v>
      </c>
      <c r="E124" s="494">
        <f>IFERROR(VLOOKUP(C124,[17]TB!$C$11:$AA$276,25,FALSE),0)</f>
        <v>6000</v>
      </c>
      <c r="G124" s="86">
        <f t="shared" si="1"/>
        <v>6000</v>
      </c>
    </row>
    <row r="125" spans="1:7" x14ac:dyDescent="0.25">
      <c r="A125" s="95" t="s">
        <v>112</v>
      </c>
      <c r="B125" s="96"/>
      <c r="C125" s="110">
        <v>4020101099</v>
      </c>
      <c r="D125" s="494">
        <f>IFERROR(VLOOKUP(C125,[17]TB!$C$11:$Z$276,24,FALSE),0)</f>
        <v>0</v>
      </c>
      <c r="E125" s="494">
        <f>IFERROR(VLOOKUP(C125,[17]TB!$C$11:$AA$276,25,FALSE),0)</f>
        <v>6500</v>
      </c>
      <c r="G125" s="86">
        <f t="shared" si="1"/>
        <v>6500</v>
      </c>
    </row>
    <row r="126" spans="1:7" x14ac:dyDescent="0.25">
      <c r="A126" s="95" t="s">
        <v>113</v>
      </c>
      <c r="B126" s="96"/>
      <c r="C126" s="110">
        <v>4020102000</v>
      </c>
      <c r="D126" s="494">
        <f>IFERROR(VLOOKUP(C126,[17]TB!$C$11:$Z$276,24,FALSE),0)</f>
        <v>0</v>
      </c>
      <c r="E126" s="494">
        <f>IFERROR(VLOOKUP(C126,[17]TB!$C$11:$AA$276,25,FALSE),0)</f>
        <v>5000</v>
      </c>
      <c r="G126" s="86">
        <f t="shared" si="1"/>
        <v>5000</v>
      </c>
    </row>
    <row r="127" spans="1:7" x14ac:dyDescent="0.25">
      <c r="A127" s="95" t="s">
        <v>203</v>
      </c>
      <c r="B127" s="96"/>
      <c r="C127" s="110">
        <v>4020104001</v>
      </c>
      <c r="D127" s="494">
        <f>IFERROR(VLOOKUP(C127,[17]TB!$C$11:$Z$276,24,FALSE),0)</f>
        <v>0</v>
      </c>
      <c r="E127" s="494">
        <f>IFERROR(VLOOKUP(C127,[17]TB!$C$11:$AA$276,25,FALSE),0)</f>
        <v>320100</v>
      </c>
      <c r="G127" s="86">
        <f t="shared" si="1"/>
        <v>320100</v>
      </c>
    </row>
    <row r="128" spans="1:7" x14ac:dyDescent="0.25">
      <c r="A128" s="95" t="s">
        <v>218</v>
      </c>
      <c r="B128" s="96"/>
      <c r="C128" s="133">
        <v>4030101000</v>
      </c>
      <c r="D128" s="494">
        <f>IFERROR(VLOOKUP(C128,[17]TB!$C$11:$Z$276,24,FALSE),0)</f>
        <v>0</v>
      </c>
      <c r="E128" s="494">
        <f>IFERROR(VLOOKUP(C128,[17]TB!$C$11:$AA$276,25,FALSE),0)</f>
        <v>9780803338.5300007</v>
      </c>
      <c r="G128" s="86">
        <f t="shared" si="1"/>
        <v>9780803338.5300007</v>
      </c>
    </row>
    <row r="129" spans="1:9" x14ac:dyDescent="0.25">
      <c r="A129" s="161" t="s">
        <v>451</v>
      </c>
      <c r="B129" s="162"/>
      <c r="C129" s="163">
        <v>4030102000</v>
      </c>
      <c r="D129" s="494">
        <f>IFERROR(VLOOKUP(C129,[17]TB!$C$11:$Z$276,24,FALSE),0)</f>
        <v>0</v>
      </c>
      <c r="E129" s="494">
        <f>IFERROR(VLOOKUP(C129,[17]TB!$C$11:$AA$276,25,FALSE),0)</f>
        <v>2011675</v>
      </c>
      <c r="G129" s="86">
        <f t="shared" si="1"/>
        <v>2011675</v>
      </c>
    </row>
    <row r="130" spans="1:9" x14ac:dyDescent="0.25">
      <c r="A130" s="95" t="s">
        <v>358</v>
      </c>
      <c r="B130" s="96"/>
      <c r="C130" s="110">
        <v>4030106000</v>
      </c>
      <c r="D130" s="494">
        <f>IFERROR(VLOOKUP(C130,[17]TB!$C$11:$Z$276,24,FALSE),0)</f>
        <v>0</v>
      </c>
      <c r="E130" s="494">
        <f>IFERROR(VLOOKUP(C130,[17]TB!$C$11:$AA$276,25,FALSE),0)</f>
        <v>79201144.109999999</v>
      </c>
      <c r="G130" s="86">
        <f t="shared" si="1"/>
        <v>79201144.109999999</v>
      </c>
    </row>
    <row r="131" spans="1:9" x14ac:dyDescent="0.25">
      <c r="A131" s="95" t="s">
        <v>444</v>
      </c>
      <c r="B131" s="96"/>
      <c r="C131" s="110">
        <v>4030107000</v>
      </c>
      <c r="D131" s="494">
        <f>IFERROR(VLOOKUP(C131,[17]TB!$C$11:$Z$276,24,FALSE),0)</f>
        <v>0</v>
      </c>
      <c r="E131" s="494">
        <f>IFERROR(VLOOKUP(C131,[17]TB!$C$11:$AA$276,25,FALSE),0)</f>
        <v>151284609.75999999</v>
      </c>
      <c r="G131" s="86">
        <f t="shared" si="1"/>
        <v>151284609.75999999</v>
      </c>
    </row>
    <row r="132" spans="1:9" x14ac:dyDescent="0.25">
      <c r="A132" s="95" t="s">
        <v>114</v>
      </c>
      <c r="B132" s="96"/>
      <c r="C132" s="110">
        <v>4040201000</v>
      </c>
      <c r="D132" s="494">
        <f>IFERROR(VLOOKUP(C132,[17]TB!$C$11:$Z$276,24,FALSE),0)</f>
        <v>0</v>
      </c>
      <c r="E132" s="494">
        <f>IFERROR(VLOOKUP(C132,[17]TB!$C$11:$AA$276,25,FALSE),0)</f>
        <v>0</v>
      </c>
      <c r="G132" s="86">
        <f t="shared" si="1"/>
        <v>0</v>
      </c>
    </row>
    <row r="133" spans="1:9" x14ac:dyDescent="0.25">
      <c r="A133" s="95" t="s">
        <v>115</v>
      </c>
      <c r="B133" s="96"/>
      <c r="C133" s="110">
        <v>4040202000</v>
      </c>
      <c r="D133" s="494">
        <f>IFERROR(VLOOKUP(C133,[17]TB!$C$11:$Z$276,24,FALSE),0)</f>
        <v>0</v>
      </c>
      <c r="E133" s="494">
        <f>IFERROR(VLOOKUP(C133,[17]TB!$C$11:$AA$276,25,FALSE),0)</f>
        <v>95000</v>
      </c>
      <c r="G133" s="86">
        <f t="shared" si="1"/>
        <v>95000</v>
      </c>
    </row>
    <row r="134" spans="1:9" x14ac:dyDescent="0.25">
      <c r="A134" s="95" t="s">
        <v>116</v>
      </c>
      <c r="B134" s="96"/>
      <c r="C134" s="110">
        <v>4020114000</v>
      </c>
      <c r="D134" s="494">
        <f>IFERROR(VLOOKUP(C134,[17]TB!$C$11:$Z$276,24,FALSE),0)</f>
        <v>0</v>
      </c>
      <c r="E134" s="494">
        <f>IFERROR(VLOOKUP(C134,[17]TB!$C$11:$AA$276,25,FALSE),0)</f>
        <v>0</v>
      </c>
      <c r="G134" s="86">
        <f t="shared" si="1"/>
        <v>0</v>
      </c>
    </row>
    <row r="135" spans="1:9" x14ac:dyDescent="0.25">
      <c r="A135" s="95" t="s">
        <v>117</v>
      </c>
      <c r="B135" s="96"/>
      <c r="C135" s="110">
        <v>4020202000</v>
      </c>
      <c r="D135" s="494">
        <f>IFERROR(VLOOKUP(C135,[17]TB!$C$11:$Z$276,24,FALSE),0)</f>
        <v>0</v>
      </c>
      <c r="E135" s="494">
        <f>IFERROR(VLOOKUP(C135,[17]TB!$C$11:$AA$276,25,FALSE),0)</f>
        <v>0</v>
      </c>
      <c r="G135" s="86">
        <f t="shared" si="1"/>
        <v>0</v>
      </c>
    </row>
    <row r="136" spans="1:9" s="125" customFormat="1" x14ac:dyDescent="0.25">
      <c r="A136" s="95" t="s">
        <v>118</v>
      </c>
      <c r="B136" s="96"/>
      <c r="C136" s="110">
        <v>4020205000</v>
      </c>
      <c r="D136" s="494">
        <f>IFERROR(VLOOKUP(C136,[17]TB!$C$11:$Z$276,24,FALSE),0)</f>
        <v>0</v>
      </c>
      <c r="E136" s="494">
        <f>IFERROR(VLOOKUP(C136,[17]TB!$C$11:$AA$276,25,FALSE),0)</f>
        <v>0</v>
      </c>
      <c r="G136" s="86">
        <f t="shared" si="1"/>
        <v>0</v>
      </c>
      <c r="I136" s="275"/>
    </row>
    <row r="137" spans="1:9" x14ac:dyDescent="0.25">
      <c r="A137" s="95" t="s">
        <v>119</v>
      </c>
      <c r="B137" s="96"/>
      <c r="C137" s="110">
        <v>4020213000</v>
      </c>
      <c r="D137" s="494">
        <f>IFERROR(VLOOKUP(C137,[17]TB!$C$11:$Z$276,24,FALSE),0)</f>
        <v>0</v>
      </c>
      <c r="E137" s="494">
        <f>IFERROR(VLOOKUP(C137,[17]TB!$C$11:$AA$276,25,FALSE),0)</f>
        <v>0</v>
      </c>
      <c r="G137" s="86">
        <f t="shared" si="1"/>
        <v>0</v>
      </c>
    </row>
    <row r="138" spans="1:9" x14ac:dyDescent="0.25">
      <c r="A138" s="95" t="s">
        <v>120</v>
      </c>
      <c r="B138" s="96"/>
      <c r="C138" s="110">
        <v>4020221099</v>
      </c>
      <c r="D138" s="494">
        <f>IFERROR(VLOOKUP(C138,[17]TB!$C$11:$Z$276,24,FALSE),0)</f>
        <v>0</v>
      </c>
      <c r="E138" s="494">
        <f>IFERROR(VLOOKUP(C138,[17]TB!$C$11:$AA$276,25,FALSE),0)</f>
        <v>0</v>
      </c>
      <c r="G138" s="86">
        <f t="shared" si="1"/>
        <v>0</v>
      </c>
    </row>
    <row r="139" spans="1:9" x14ac:dyDescent="0.25">
      <c r="A139" s="95" t="s">
        <v>121</v>
      </c>
      <c r="B139" s="96"/>
      <c r="C139" s="110">
        <v>4050199000</v>
      </c>
      <c r="D139" s="494">
        <f>IFERROR(VLOOKUP(C139,[17]TB!$C$11:$Z$276,24,FALSE),0)</f>
        <v>0</v>
      </c>
      <c r="E139" s="494">
        <f>IFERROR(VLOOKUP(C139,[17]TB!$C$11:$AA$276,25,FALSE),0)</f>
        <v>200</v>
      </c>
      <c r="G139" s="86">
        <f t="shared" si="1"/>
        <v>200</v>
      </c>
    </row>
    <row r="140" spans="1:9" x14ac:dyDescent="0.25">
      <c r="A140" s="95" t="s">
        <v>378</v>
      </c>
      <c r="B140" s="96"/>
      <c r="C140" s="110">
        <v>4069999000</v>
      </c>
      <c r="D140" s="494">
        <f>IFERROR(VLOOKUP(C140,[17]TB!$C$11:$Z$276,24,FALSE),0)</f>
        <v>0</v>
      </c>
      <c r="E140" s="494">
        <f>IFERROR(VLOOKUP(C140,[17]TB!$C$11:$AA$276,25,FALSE),0)</f>
        <v>0</v>
      </c>
      <c r="G140" s="86">
        <f t="shared" si="1"/>
        <v>0</v>
      </c>
    </row>
    <row r="141" spans="1:9" x14ac:dyDescent="0.25">
      <c r="A141" s="95" t="s">
        <v>215</v>
      </c>
      <c r="B141" s="96"/>
      <c r="C141" s="110">
        <v>5010101001</v>
      </c>
      <c r="D141" s="494">
        <f>IFERROR(VLOOKUP(C141,[17]TB!$C$11:$Z$276,24,FALSE),0)</f>
        <v>60397008.460000001</v>
      </c>
      <c r="E141" s="494">
        <f>IFERROR(VLOOKUP(C141,[17]TB!$C$11:$AA$276,25,FALSE),0)</f>
        <v>0</v>
      </c>
      <c r="G141" s="86">
        <f t="shared" ref="G141:G204" si="2">SUM(D141:E141)</f>
        <v>60397008.460000001</v>
      </c>
    </row>
    <row r="142" spans="1:9" x14ac:dyDescent="0.25">
      <c r="A142" s="95" t="s">
        <v>402</v>
      </c>
      <c r="B142" s="96"/>
      <c r="C142" s="110">
        <v>5010102000</v>
      </c>
      <c r="D142" s="494">
        <f>IFERROR(VLOOKUP(C142,[17]TB!$C$11:$Z$276,24,FALSE),0)</f>
        <v>702135870.62</v>
      </c>
      <c r="E142" s="494">
        <f>IFERROR(VLOOKUP(C142,[17]TB!$C$11:$AA$276,25,FALSE),0)</f>
        <v>0</v>
      </c>
      <c r="G142" s="86">
        <f t="shared" si="2"/>
        <v>702135870.62</v>
      </c>
    </row>
    <row r="143" spans="1:9" x14ac:dyDescent="0.25">
      <c r="A143" s="95" t="s">
        <v>124</v>
      </c>
      <c r="B143" s="96"/>
      <c r="C143" s="110">
        <v>5010201001</v>
      </c>
      <c r="D143" s="494">
        <f>IFERROR(VLOOKUP(C143,[17]TB!$C$11:$Z$276,24,FALSE),0)</f>
        <v>2731156.4</v>
      </c>
      <c r="E143" s="494">
        <f>IFERROR(VLOOKUP(C143,[17]TB!$C$11:$AA$276,25,FALSE),0)</f>
        <v>0</v>
      </c>
      <c r="G143" s="86">
        <f t="shared" si="2"/>
        <v>2731156.4</v>
      </c>
    </row>
    <row r="144" spans="1:9" x14ac:dyDescent="0.25">
      <c r="A144" s="95" t="s">
        <v>125</v>
      </c>
      <c r="B144" s="96"/>
      <c r="C144" s="110">
        <v>5010210001</v>
      </c>
      <c r="D144" s="494">
        <f>IFERROR(VLOOKUP(C144,[17]TB!$C$11:$Z$276,24,FALSE),0)</f>
        <v>3832.21</v>
      </c>
      <c r="E144" s="494">
        <f>IFERROR(VLOOKUP(C144,[17]TB!$C$11:$AA$276,25,FALSE),0)</f>
        <v>0</v>
      </c>
      <c r="G144" s="86">
        <f t="shared" si="2"/>
        <v>3832.21</v>
      </c>
    </row>
    <row r="145" spans="1:9" x14ac:dyDescent="0.25">
      <c r="A145" s="95" t="s">
        <v>126</v>
      </c>
      <c r="B145" s="96"/>
      <c r="C145" s="110">
        <v>5010211002</v>
      </c>
      <c r="D145" s="494">
        <f>IFERROR(VLOOKUP(C145,[17]TB!$C$11:$Z$276,24,FALSE),0)</f>
        <v>5243173.3</v>
      </c>
      <c r="E145" s="494">
        <f>IFERROR(VLOOKUP(C145,[17]TB!$C$11:$AA$276,25,FALSE),0)</f>
        <v>0</v>
      </c>
      <c r="G145" s="86">
        <f t="shared" si="2"/>
        <v>5243173.3</v>
      </c>
    </row>
    <row r="146" spans="1:9" x14ac:dyDescent="0.25">
      <c r="A146" s="95" t="s">
        <v>127</v>
      </c>
      <c r="B146" s="96"/>
      <c r="C146" s="110">
        <v>5010212001</v>
      </c>
      <c r="D146" s="494">
        <f>IFERROR(VLOOKUP(C146,[17]TB!$C$11:$Z$276,24,FALSE),0)</f>
        <v>0</v>
      </c>
      <c r="E146" s="494">
        <f>IFERROR(VLOOKUP(C146,[17]TB!$C$11:$AA$276,25,FALSE),0)</f>
        <v>0</v>
      </c>
      <c r="G146" s="86">
        <f t="shared" si="2"/>
        <v>0</v>
      </c>
    </row>
    <row r="147" spans="1:9" x14ac:dyDescent="0.25">
      <c r="A147" s="95" t="s">
        <v>38</v>
      </c>
      <c r="B147" s="96"/>
      <c r="C147" s="110">
        <v>5010202000</v>
      </c>
      <c r="D147" s="494">
        <f>IFERROR(VLOOKUP(C147,[17]TB!$C$11:$Z$276,24,FALSE),0)</f>
        <v>527000</v>
      </c>
      <c r="E147" s="494">
        <f>IFERROR(VLOOKUP(C147,[17]TB!$C$11:$AA$276,25,FALSE),0)</f>
        <v>0</v>
      </c>
      <c r="G147" s="86">
        <f t="shared" si="2"/>
        <v>527000</v>
      </c>
    </row>
    <row r="148" spans="1:9" x14ac:dyDescent="0.25">
      <c r="A148" s="95" t="s">
        <v>39</v>
      </c>
      <c r="B148" s="96"/>
      <c r="C148" s="110">
        <v>5010203001</v>
      </c>
      <c r="D148" s="494">
        <f>IFERROR(VLOOKUP(C148,[17]TB!$C$11:$Z$276,24,FALSE),0)</f>
        <v>527000</v>
      </c>
      <c r="E148" s="494">
        <f>IFERROR(VLOOKUP(C148,[17]TB!$C$11:$AA$276,25,FALSE),0)</f>
        <v>0</v>
      </c>
      <c r="G148" s="86">
        <f t="shared" si="2"/>
        <v>527000</v>
      </c>
    </row>
    <row r="149" spans="1:9" x14ac:dyDescent="0.25">
      <c r="A149" s="95" t="s">
        <v>40</v>
      </c>
      <c r="B149" s="96"/>
      <c r="C149" s="110">
        <v>5010204001</v>
      </c>
      <c r="D149" s="494">
        <f>IFERROR(VLOOKUP(C149,[17]TB!$C$11:$Z$276,24,FALSE),0)</f>
        <v>1463000</v>
      </c>
      <c r="E149" s="494">
        <f>IFERROR(VLOOKUP(C149,[17]TB!$C$11:$AA$276,25,FALSE),0)</f>
        <v>0</v>
      </c>
      <c r="G149" s="86">
        <f t="shared" si="2"/>
        <v>1463000</v>
      </c>
    </row>
    <row r="150" spans="1:9" x14ac:dyDescent="0.25">
      <c r="A150" s="95" t="s">
        <v>128</v>
      </c>
      <c r="B150" s="96"/>
      <c r="C150" s="110">
        <v>5010205003</v>
      </c>
      <c r="D150" s="494">
        <f>IFERROR(VLOOKUP(C150,[17]TB!$C$11:$Z$276,24,FALSE),0)</f>
        <v>0</v>
      </c>
      <c r="E150" s="494">
        <f>IFERROR(VLOOKUP(C150,[17]TB!$C$11:$AA$276,25,FALSE),0)</f>
        <v>0</v>
      </c>
      <c r="G150" s="86">
        <f t="shared" si="2"/>
        <v>0</v>
      </c>
    </row>
    <row r="151" spans="1:9" x14ac:dyDescent="0.25">
      <c r="A151" s="95" t="s">
        <v>129</v>
      </c>
      <c r="B151" s="96"/>
      <c r="C151" s="110">
        <v>5010205004</v>
      </c>
      <c r="D151" s="494">
        <f>IFERROR(VLOOKUP(C151,[17]TB!$C$11:$Z$276,24,FALSE),0)</f>
        <v>386175</v>
      </c>
      <c r="E151" s="494">
        <f>IFERROR(VLOOKUP(C151,[17]TB!$C$11:$AA$276,25,FALSE),0)</f>
        <v>0</v>
      </c>
      <c r="G151" s="86">
        <f t="shared" si="2"/>
        <v>386175</v>
      </c>
    </row>
    <row r="152" spans="1:9" x14ac:dyDescent="0.25">
      <c r="A152" s="95" t="s">
        <v>371</v>
      </c>
      <c r="B152" s="96"/>
      <c r="C152" s="110">
        <v>5010206003</v>
      </c>
      <c r="D152" s="494">
        <f>IFERROR(VLOOKUP(C152,[17]TB!$C$11:$Z$276,24,FALSE),0)</f>
        <v>0</v>
      </c>
      <c r="E152" s="494">
        <f>IFERROR(VLOOKUP(C152,[17]TB!$C$11:$AA$276,25,FALSE),0)</f>
        <v>0</v>
      </c>
      <c r="G152" s="86">
        <f t="shared" si="2"/>
        <v>0</v>
      </c>
    </row>
    <row r="153" spans="1:9" x14ac:dyDescent="0.25">
      <c r="A153" s="95" t="s">
        <v>130</v>
      </c>
      <c r="B153" s="96"/>
      <c r="C153" s="110">
        <v>5010206004</v>
      </c>
      <c r="D153" s="494">
        <f>IFERROR(VLOOKUP(C153,[17]TB!$C$11:$Z$276,24,FALSE),0)</f>
        <v>3600</v>
      </c>
      <c r="E153" s="494">
        <f>IFERROR(VLOOKUP(C153,[17]TB!$C$11:$AA$276,25,FALSE),0)</f>
        <v>0</v>
      </c>
      <c r="G153" s="86">
        <f t="shared" si="2"/>
        <v>3600</v>
      </c>
    </row>
    <row r="154" spans="1:9" x14ac:dyDescent="0.25">
      <c r="A154" s="95" t="s">
        <v>131</v>
      </c>
      <c r="B154" s="96"/>
      <c r="C154" s="110">
        <v>5010207004</v>
      </c>
      <c r="D154" s="494">
        <f>IFERROR(VLOOKUP(C154,[17]TB!$C$11:$Z$276,24,FALSE),0)</f>
        <v>0</v>
      </c>
      <c r="E154" s="494">
        <f>IFERROR(VLOOKUP(C154,[17]TB!$C$11:$AA$276,25,FALSE),0)</f>
        <v>0</v>
      </c>
      <c r="G154" s="86">
        <f t="shared" si="2"/>
        <v>0</v>
      </c>
    </row>
    <row r="155" spans="1:9" x14ac:dyDescent="0.25">
      <c r="A155" s="95" t="s">
        <v>384</v>
      </c>
      <c r="B155" s="96"/>
      <c r="C155" s="94">
        <v>5010211006</v>
      </c>
      <c r="D155" s="494">
        <f>IFERROR(VLOOKUP(C155,[17]TB!$C$11:$Z$276,24,FALSE),0)</f>
        <v>7262082.9800000004</v>
      </c>
      <c r="E155" s="494">
        <f>IFERROR(VLOOKUP(C155,[17]TB!$C$11:$AA$276,25,FALSE),0)</f>
        <v>0</v>
      </c>
      <c r="G155" s="86">
        <f t="shared" si="2"/>
        <v>7262082.9800000004</v>
      </c>
    </row>
    <row r="156" spans="1:9" x14ac:dyDescent="0.25">
      <c r="A156" s="95" t="s">
        <v>132</v>
      </c>
      <c r="B156" s="96"/>
      <c r="C156" s="110">
        <v>5010208001</v>
      </c>
      <c r="D156" s="494">
        <f>IFERROR(VLOOKUP(C156,[17]TB!$C$11:$Z$276,24,FALSE),0)</f>
        <v>0</v>
      </c>
      <c r="E156" s="494">
        <f>IFERROR(VLOOKUP(C156,[17]TB!$C$11:$AA$276,25,FALSE),0)</f>
        <v>0</v>
      </c>
      <c r="G156" s="86">
        <f t="shared" si="2"/>
        <v>0</v>
      </c>
    </row>
    <row r="157" spans="1:9" s="101" customFormat="1" x14ac:dyDescent="0.25">
      <c r="A157" s="95" t="s">
        <v>133</v>
      </c>
      <c r="B157" s="96"/>
      <c r="C157" s="110">
        <v>5010299011</v>
      </c>
      <c r="D157" s="494">
        <f>IFERROR(VLOOKUP(C157,[17]TB!$C$11:$Z$276,24,FALSE),0)</f>
        <v>39625631.82</v>
      </c>
      <c r="E157" s="494">
        <f>IFERROR(VLOOKUP(C157,[17]TB!$C$11:$AA$276,25,FALSE),0)</f>
        <v>0</v>
      </c>
      <c r="G157" s="86">
        <f t="shared" si="2"/>
        <v>39625631.82</v>
      </c>
      <c r="I157" s="97"/>
    </row>
    <row r="158" spans="1:9" s="101" customFormat="1" x14ac:dyDescent="0.25">
      <c r="A158" s="95" t="s">
        <v>134</v>
      </c>
      <c r="B158" s="96"/>
      <c r="C158" s="110">
        <v>5010299012</v>
      </c>
      <c r="D158" s="494">
        <f>IFERROR(VLOOKUP(C158,[17]TB!$C$11:$Z$276,24,FALSE),0)</f>
        <v>641000</v>
      </c>
      <c r="E158" s="494">
        <f>IFERROR(VLOOKUP(C158,[17]TB!$C$11:$AA$276,25,FALSE),0)</f>
        <v>0</v>
      </c>
      <c r="G158" s="86">
        <f t="shared" si="2"/>
        <v>641000</v>
      </c>
      <c r="I158" s="97"/>
    </row>
    <row r="159" spans="1:9" s="101" customFormat="1" x14ac:dyDescent="0.25">
      <c r="A159" s="95" t="s">
        <v>135</v>
      </c>
      <c r="B159" s="96"/>
      <c r="C159" s="110">
        <v>5010299014</v>
      </c>
      <c r="D159" s="494">
        <f>IFERROR(VLOOKUP(C159,[17]TB!$C$11:$Z$276,24,FALSE),0)</f>
        <v>15619337.939999999</v>
      </c>
      <c r="E159" s="494">
        <f>IFERROR(VLOOKUP(C159,[17]TB!$C$11:$AA$276,25,FALSE),0)</f>
        <v>0</v>
      </c>
      <c r="G159" s="86">
        <f t="shared" si="2"/>
        <v>15619337.939999999</v>
      </c>
      <c r="I159" s="97"/>
    </row>
    <row r="160" spans="1:9" s="101" customFormat="1" x14ac:dyDescent="0.25">
      <c r="A160" s="95" t="s">
        <v>403</v>
      </c>
      <c r="B160" s="96"/>
      <c r="C160" s="110">
        <v>5010216001</v>
      </c>
      <c r="D160" s="494">
        <f>IFERROR(VLOOKUP(C160,[17]TB!$C$11:$Z$276,24,FALSE),0)</f>
        <v>4628561</v>
      </c>
      <c r="E160" s="494">
        <f>IFERROR(VLOOKUP(C160,[17]TB!$C$11:$AA$276,25,FALSE),0)</f>
        <v>0</v>
      </c>
      <c r="G160" s="86">
        <f t="shared" si="2"/>
        <v>4628561</v>
      </c>
      <c r="I160" s="97"/>
    </row>
    <row r="161" spans="1:9" s="101" customFormat="1" x14ac:dyDescent="0.25">
      <c r="A161" s="95" t="s">
        <v>404</v>
      </c>
      <c r="B161" s="96"/>
      <c r="C161" s="110">
        <v>5010299038</v>
      </c>
      <c r="D161" s="494">
        <f>IFERROR(VLOOKUP(C161,[17]TB!$C$11:$Z$276,24,FALSE),0)</f>
        <v>0</v>
      </c>
      <c r="E161" s="494">
        <f>IFERROR(VLOOKUP(C161,[17]TB!$C$11:$AA$276,25,FALSE),0)</f>
        <v>0</v>
      </c>
      <c r="G161" s="86">
        <f t="shared" si="2"/>
        <v>0</v>
      </c>
      <c r="I161" s="97"/>
    </row>
    <row r="162" spans="1:9" s="101" customFormat="1" x14ac:dyDescent="0.25">
      <c r="A162" s="95" t="s">
        <v>214</v>
      </c>
      <c r="B162" s="96"/>
      <c r="C162" s="110">
        <v>5010213001</v>
      </c>
      <c r="D162" s="494">
        <f>IFERROR(VLOOKUP(C162,[17]TB!$C$11:$Z$276,24,FALSE),0)</f>
        <v>0</v>
      </c>
      <c r="E162" s="494">
        <f>IFERROR(VLOOKUP(C162,[17]TB!$C$11:$AA$276,25,FALSE),0)</f>
        <v>0</v>
      </c>
      <c r="G162" s="86">
        <f t="shared" si="2"/>
        <v>0</v>
      </c>
      <c r="I162" s="97"/>
    </row>
    <row r="163" spans="1:9" s="101" customFormat="1" x14ac:dyDescent="0.25">
      <c r="A163" s="95" t="s">
        <v>368</v>
      </c>
      <c r="B163" s="96"/>
      <c r="C163" s="110">
        <v>5010213002</v>
      </c>
      <c r="D163" s="494">
        <f>IFERROR(VLOOKUP(C163,[17]TB!$C$11:$Z$276,24,FALSE),0)</f>
        <v>0</v>
      </c>
      <c r="E163" s="494">
        <f>IFERROR(VLOOKUP(C163,[17]TB!$C$11:$AA$276,25,FALSE),0)</f>
        <v>0</v>
      </c>
      <c r="G163" s="86">
        <f t="shared" si="2"/>
        <v>0</v>
      </c>
      <c r="I163" s="97"/>
    </row>
    <row r="164" spans="1:9" s="101" customFormat="1" x14ac:dyDescent="0.25">
      <c r="A164" s="95" t="s">
        <v>41</v>
      </c>
      <c r="B164" s="96"/>
      <c r="C164" s="110">
        <v>5010215001</v>
      </c>
      <c r="D164" s="494">
        <f>IFERROR(VLOOKUP(C164,[17]TB!$C$11:$Z$276,24,FALSE),0)</f>
        <v>635000</v>
      </c>
      <c r="E164" s="494">
        <f>IFERROR(VLOOKUP(C164,[17]TB!$C$11:$AA$276,25,FALSE),0)</f>
        <v>0</v>
      </c>
      <c r="G164" s="86">
        <f t="shared" si="2"/>
        <v>635000</v>
      </c>
      <c r="I164" s="97"/>
    </row>
    <row r="165" spans="1:9" s="101" customFormat="1" x14ac:dyDescent="0.25">
      <c r="A165" s="95" t="s">
        <v>96</v>
      </c>
      <c r="B165" s="96"/>
      <c r="C165" s="110">
        <v>5010214001</v>
      </c>
      <c r="D165" s="494">
        <f>IFERROR(VLOOKUP(C165,[17]TB!$C$11:$Z$276,24,FALSE),0)</f>
        <v>4722151.95</v>
      </c>
      <c r="E165" s="494">
        <f>IFERROR(VLOOKUP(C165,[17]TB!$C$11:$AA$276,25,FALSE),0)</f>
        <v>0</v>
      </c>
      <c r="G165" s="86">
        <f t="shared" si="2"/>
        <v>4722151.95</v>
      </c>
      <c r="I165" s="97"/>
    </row>
    <row r="166" spans="1:9" s="101" customFormat="1" x14ac:dyDescent="0.25">
      <c r="A166" s="95" t="s">
        <v>212</v>
      </c>
      <c r="B166" s="96"/>
      <c r="C166" s="110">
        <v>5010301000</v>
      </c>
      <c r="D166" s="494">
        <f>IFERROR(VLOOKUP(C166,[17]TB!$C$11:$Z$276,24,FALSE),0)</f>
        <v>7223768.71</v>
      </c>
      <c r="E166" s="494">
        <f>IFERROR(VLOOKUP(C166,[17]TB!$C$11:$AA$276,25,FALSE),0)</f>
        <v>0</v>
      </c>
      <c r="G166" s="86">
        <f t="shared" si="2"/>
        <v>7223768.71</v>
      </c>
      <c r="I166" s="97"/>
    </row>
    <row r="167" spans="1:9" s="101" customFormat="1" x14ac:dyDescent="0.25">
      <c r="A167" s="95" t="s">
        <v>138</v>
      </c>
      <c r="B167" s="96"/>
      <c r="C167" s="110">
        <v>5010302001</v>
      </c>
      <c r="D167" s="494">
        <f>IFERROR(VLOOKUP(C167,[17]TB!$C$11:$Z$276,24,FALSE),0)</f>
        <v>267600</v>
      </c>
      <c r="E167" s="494">
        <f>IFERROR(VLOOKUP(C167,[17]TB!$C$11:$AA$276,25,FALSE),0)</f>
        <v>0</v>
      </c>
      <c r="G167" s="86">
        <f t="shared" si="2"/>
        <v>267600</v>
      </c>
      <c r="I167" s="97"/>
    </row>
    <row r="168" spans="1:9" s="101" customFormat="1" x14ac:dyDescent="0.25">
      <c r="A168" s="95" t="s">
        <v>139</v>
      </c>
      <c r="B168" s="96"/>
      <c r="C168" s="110">
        <v>5010303001</v>
      </c>
      <c r="D168" s="494">
        <f>IFERROR(VLOOKUP(C168,[17]TB!$C$11:$Z$276,24,FALSE),0)</f>
        <v>1402493.36</v>
      </c>
      <c r="E168" s="494">
        <f>IFERROR(VLOOKUP(C168,[17]TB!$C$11:$AA$276,25,FALSE),0)</f>
        <v>0</v>
      </c>
      <c r="G168" s="86">
        <f t="shared" si="2"/>
        <v>1402493.36</v>
      </c>
      <c r="I168" s="97"/>
    </row>
    <row r="169" spans="1:9" s="101" customFormat="1" x14ac:dyDescent="0.25">
      <c r="A169" s="95" t="s">
        <v>140</v>
      </c>
      <c r="B169" s="96"/>
      <c r="C169" s="110">
        <v>5010304001</v>
      </c>
      <c r="D169" s="494">
        <f>IFERROR(VLOOKUP(C169,[17]TB!$C$11:$Z$276,24,FALSE),0)</f>
        <v>160390.73000000001</v>
      </c>
      <c r="E169" s="494">
        <f>IFERROR(VLOOKUP(C169,[17]TB!$C$11:$AA$276,25,FALSE),0)</f>
        <v>0</v>
      </c>
      <c r="G169" s="86">
        <f t="shared" si="2"/>
        <v>160390.73000000001</v>
      </c>
      <c r="I169" s="97"/>
    </row>
    <row r="170" spans="1:9" s="101" customFormat="1" x14ac:dyDescent="0.25">
      <c r="A170" s="95" t="s">
        <v>141</v>
      </c>
      <c r="B170" s="96"/>
      <c r="C170" s="110">
        <v>5010401001</v>
      </c>
      <c r="D170" s="494">
        <f>IFERROR(VLOOKUP(C170,[17]TB!$C$11:$Z$276,24,FALSE),0)</f>
        <v>0</v>
      </c>
      <c r="E170" s="494">
        <f>IFERROR(VLOOKUP(C170,[17]TB!$C$11:$AA$276,25,FALSE),0)</f>
        <v>0</v>
      </c>
      <c r="G170" s="86">
        <f t="shared" si="2"/>
        <v>0</v>
      </c>
      <c r="I170" s="97"/>
    </row>
    <row r="171" spans="1:9" s="101" customFormat="1" x14ac:dyDescent="0.25">
      <c r="A171" s="95" t="s">
        <v>142</v>
      </c>
      <c r="B171" s="96"/>
      <c r="C171" s="110">
        <v>5010402001</v>
      </c>
      <c r="D171" s="494">
        <f>IFERROR(VLOOKUP(C171,[17]TB!$C$11:$Z$276,24,FALSE),0)</f>
        <v>0</v>
      </c>
      <c r="E171" s="494">
        <f>IFERROR(VLOOKUP(C171,[17]TB!$C$11:$AA$276,25,FALSE),0)</f>
        <v>0</v>
      </c>
      <c r="G171" s="86">
        <f t="shared" si="2"/>
        <v>0</v>
      </c>
      <c r="I171" s="97"/>
    </row>
    <row r="172" spans="1:9" s="101" customFormat="1" x14ac:dyDescent="0.25">
      <c r="A172" s="95" t="s">
        <v>143</v>
      </c>
      <c r="B172" s="96"/>
      <c r="C172" s="110">
        <v>5010403001</v>
      </c>
      <c r="D172" s="494">
        <f>IFERROR(VLOOKUP(C172,[17]TB!$C$11:$Z$276,24,FALSE),0)</f>
        <v>3995588.92</v>
      </c>
      <c r="E172" s="494">
        <f>IFERROR(VLOOKUP(C172,[17]TB!$C$11:$AA$276,25,FALSE),0)</f>
        <v>0</v>
      </c>
      <c r="G172" s="86">
        <f t="shared" si="2"/>
        <v>3995588.92</v>
      </c>
      <c r="I172" s="97"/>
    </row>
    <row r="173" spans="1:9" x14ac:dyDescent="0.25">
      <c r="A173" s="95" t="s">
        <v>382</v>
      </c>
      <c r="B173" s="96"/>
      <c r="C173" s="110">
        <v>5010499015</v>
      </c>
      <c r="D173" s="494">
        <f>IFERROR(VLOOKUP(C173,[17]TB!$C$11:$Z$276,24,FALSE),0)</f>
        <v>0</v>
      </c>
      <c r="E173" s="494">
        <f>IFERROR(VLOOKUP(C173,[17]TB!$C$11:$AA$276,25,FALSE),0)</f>
        <v>0</v>
      </c>
      <c r="G173" s="86">
        <f t="shared" si="2"/>
        <v>0</v>
      </c>
    </row>
    <row r="174" spans="1:9" x14ac:dyDescent="0.25">
      <c r="A174" s="95" t="s">
        <v>379</v>
      </c>
      <c r="B174" s="96"/>
      <c r="C174" s="110">
        <v>5010499010</v>
      </c>
      <c r="D174" s="494">
        <f>IFERROR(VLOOKUP(C174,[17]TB!$C$11:$Z$276,24,FALSE),0)</f>
        <v>768.99</v>
      </c>
      <c r="E174" s="494">
        <f>IFERROR(VLOOKUP(C174,[17]TB!$C$11:$AA$276,25,FALSE),0)</f>
        <v>0</v>
      </c>
      <c r="G174" s="86">
        <f t="shared" si="2"/>
        <v>768.99</v>
      </c>
    </row>
    <row r="175" spans="1:9" x14ac:dyDescent="0.25">
      <c r="A175" s="175" t="s">
        <v>467</v>
      </c>
      <c r="B175" s="176"/>
      <c r="C175" s="177">
        <v>5010499011</v>
      </c>
      <c r="D175" s="494">
        <f>IFERROR(VLOOKUP(C175,[17]TB!$C$11:$Z$276,24,FALSE),0)</f>
        <v>0</v>
      </c>
      <c r="E175" s="494">
        <f>IFERROR(VLOOKUP(C175,[17]TB!$C$11:$AA$276,25,FALSE),0)</f>
        <v>0</v>
      </c>
      <c r="G175" s="86">
        <f t="shared" si="2"/>
        <v>0</v>
      </c>
    </row>
    <row r="176" spans="1:9" x14ac:dyDescent="0.25">
      <c r="A176" s="95" t="s">
        <v>405</v>
      </c>
      <c r="B176" s="96"/>
      <c r="C176" s="110">
        <v>5010499099</v>
      </c>
      <c r="D176" s="494">
        <f>IFERROR(VLOOKUP(C176,[17]TB!$C$11:$Z$276,24,FALSE),0)</f>
        <v>25633298.41</v>
      </c>
      <c r="E176" s="494">
        <f>IFERROR(VLOOKUP(C176,[17]TB!$C$11:$AA$276,25,FALSE),0)</f>
        <v>0</v>
      </c>
      <c r="G176" s="86">
        <f t="shared" si="2"/>
        <v>25633298.41</v>
      </c>
    </row>
    <row r="177" spans="1:7" x14ac:dyDescent="0.25">
      <c r="A177" s="95" t="s">
        <v>42</v>
      </c>
      <c r="B177" s="96"/>
      <c r="C177" s="110">
        <v>5020101000</v>
      </c>
      <c r="D177" s="494">
        <f>IFERROR(VLOOKUP(C177,[17]TB!$C$11:$Z$276,24,FALSE),0)</f>
        <v>119420122.43000001</v>
      </c>
      <c r="E177" s="494">
        <f>IFERROR(VLOOKUP(C177,[17]TB!$C$11:$AA$276,25,FALSE),0)</f>
        <v>0</v>
      </c>
      <c r="G177" s="86">
        <f t="shared" si="2"/>
        <v>119420122.43000001</v>
      </c>
    </row>
    <row r="178" spans="1:7" x14ac:dyDescent="0.25">
      <c r="A178" s="95" t="s">
        <v>43</v>
      </c>
      <c r="B178" s="96"/>
      <c r="C178" s="137">
        <v>5020201002</v>
      </c>
      <c r="D178" s="494">
        <f>IFERROR(VLOOKUP(C178,[17]TB!$C$11:$Z$276,24,FALSE),0)</f>
        <v>55953748.490000002</v>
      </c>
      <c r="E178" s="494">
        <f>IFERROR(VLOOKUP(C178,[17]TB!$C$11:$AA$276,25,FALSE),0)</f>
        <v>0</v>
      </c>
      <c r="G178" s="86">
        <f t="shared" si="2"/>
        <v>55953748.490000002</v>
      </c>
    </row>
    <row r="179" spans="1:7" x14ac:dyDescent="0.25">
      <c r="A179" s="95" t="s">
        <v>44</v>
      </c>
      <c r="B179" s="96"/>
      <c r="C179" s="110">
        <v>5020202000</v>
      </c>
      <c r="D179" s="494">
        <f>IFERROR(VLOOKUP(C179,[17]TB!$C$11:$Z$276,24,FALSE),0)</f>
        <v>82270.31</v>
      </c>
      <c r="E179" s="494">
        <f>IFERROR(VLOOKUP(C179,[17]TB!$C$11:$AA$276,25,FALSE),0)</f>
        <v>0</v>
      </c>
      <c r="G179" s="86">
        <f t="shared" si="2"/>
        <v>82270.31</v>
      </c>
    </row>
    <row r="180" spans="1:7" x14ac:dyDescent="0.25">
      <c r="A180" s="95" t="s">
        <v>413</v>
      </c>
      <c r="B180" s="96"/>
      <c r="C180" s="110">
        <v>5020301001</v>
      </c>
      <c r="D180" s="494">
        <f>IFERROR(VLOOKUP(C180,[17]TB!$C$11:$Z$276,24,FALSE),0)</f>
        <v>30393.09</v>
      </c>
      <c r="E180" s="494">
        <f>IFERROR(VLOOKUP(C180,[17]TB!$C$11:$AA$276,25,FALSE),0)</f>
        <v>0</v>
      </c>
      <c r="G180" s="86">
        <f t="shared" si="2"/>
        <v>30393.09</v>
      </c>
    </row>
    <row r="181" spans="1:7" x14ac:dyDescent="0.25">
      <c r="A181" s="95" t="s">
        <v>45</v>
      </c>
      <c r="B181" s="96"/>
      <c r="C181" s="110">
        <v>5020301002</v>
      </c>
      <c r="D181" s="494">
        <f>IFERROR(VLOOKUP(C181,[17]TB!$C$11:$Z$276,24,FALSE),0)</f>
        <v>14101842.76</v>
      </c>
      <c r="E181" s="494">
        <f>IFERROR(VLOOKUP(C181,[17]TB!$C$11:$AA$276,25,FALSE),0)</f>
        <v>0</v>
      </c>
      <c r="G181" s="86">
        <f t="shared" si="2"/>
        <v>14101842.76</v>
      </c>
    </row>
    <row r="182" spans="1:7" x14ac:dyDescent="0.25">
      <c r="A182" s="95" t="s">
        <v>46</v>
      </c>
      <c r="B182" s="96"/>
      <c r="C182" s="110">
        <v>5020302000</v>
      </c>
      <c r="D182" s="494">
        <f>IFERROR(VLOOKUP(C182,[17]TB!$C$11:$Z$276,24,FALSE),0)</f>
        <v>0</v>
      </c>
      <c r="E182" s="494">
        <f>IFERROR(VLOOKUP(C182,[17]TB!$C$11:$AA$276,25,FALSE),0)</f>
        <v>0</v>
      </c>
      <c r="G182" s="86">
        <f t="shared" si="2"/>
        <v>0</v>
      </c>
    </row>
    <row r="183" spans="1:7" x14ac:dyDescent="0.25">
      <c r="A183" s="95" t="s">
        <v>47</v>
      </c>
      <c r="B183" s="96"/>
      <c r="C183" s="110">
        <v>5020305000</v>
      </c>
      <c r="D183" s="494">
        <f>IFERROR(VLOOKUP(C183,[17]TB!$C$11:$Z$276,24,FALSE),0)</f>
        <v>8129340.6900000004</v>
      </c>
      <c r="E183" s="494">
        <f>IFERROR(VLOOKUP(C183,[17]TB!$C$11:$AA$276,25,FALSE),0)</f>
        <v>0</v>
      </c>
      <c r="G183" s="86">
        <f t="shared" si="2"/>
        <v>8129340.6900000004</v>
      </c>
    </row>
    <row r="184" spans="1:7" x14ac:dyDescent="0.25">
      <c r="A184" s="95" t="s">
        <v>144</v>
      </c>
      <c r="B184" s="96"/>
      <c r="C184" s="110">
        <v>5020306000</v>
      </c>
      <c r="D184" s="494">
        <f>IFERROR(VLOOKUP(C184,[17]TB!$C$11:$Z$276,24,FALSE),0)</f>
        <v>144855422.09</v>
      </c>
      <c r="E184" s="494">
        <f>IFERROR(VLOOKUP(C184,[17]TB!$C$11:$AA$276,25,FALSE),0)</f>
        <v>0</v>
      </c>
      <c r="G184" s="86">
        <f t="shared" si="2"/>
        <v>144855422.09</v>
      </c>
    </row>
    <row r="185" spans="1:7" x14ac:dyDescent="0.25">
      <c r="A185" s="95" t="s">
        <v>48</v>
      </c>
      <c r="B185" s="96"/>
      <c r="C185" s="110">
        <v>5020307000</v>
      </c>
      <c r="D185" s="494">
        <f>IFERROR(VLOOKUP(C185,[17]TB!$C$11:$Z$276,24,FALSE),0)</f>
        <v>495141.61</v>
      </c>
      <c r="E185" s="494">
        <f>IFERROR(VLOOKUP(C185,[17]TB!$C$11:$AA$276,25,FALSE),0)</f>
        <v>0</v>
      </c>
      <c r="G185" s="86">
        <f t="shared" si="2"/>
        <v>495141.61</v>
      </c>
    </row>
    <row r="186" spans="1:7" x14ac:dyDescent="0.25">
      <c r="A186" s="95" t="s">
        <v>49</v>
      </c>
      <c r="B186" s="96"/>
      <c r="C186" s="110">
        <v>5020308000</v>
      </c>
      <c r="D186" s="494">
        <f>IFERROR(VLOOKUP(C186,[17]TB!$C$11:$Z$276,24,FALSE),0)</f>
        <v>727583.91</v>
      </c>
      <c r="E186" s="494">
        <f>IFERROR(VLOOKUP(C186,[17]TB!$C$11:$AA$276,25,FALSE),0)</f>
        <v>0</v>
      </c>
      <c r="G186" s="86">
        <f t="shared" si="2"/>
        <v>727583.91</v>
      </c>
    </row>
    <row r="187" spans="1:7" x14ac:dyDescent="0.25">
      <c r="A187" s="95" t="s">
        <v>145</v>
      </c>
      <c r="B187" s="96"/>
      <c r="C187" s="110">
        <v>5020309000</v>
      </c>
      <c r="D187" s="494">
        <f>IFERROR(VLOOKUP(C187,[17]TB!$C$11:$Z$276,24,FALSE),0)</f>
        <v>5576457.21</v>
      </c>
      <c r="E187" s="494">
        <f>IFERROR(VLOOKUP(C187,[17]TB!$C$11:$AA$276,25,FALSE),0)</f>
        <v>0</v>
      </c>
      <c r="G187" s="86">
        <f t="shared" si="2"/>
        <v>5576457.21</v>
      </c>
    </row>
    <row r="188" spans="1:7" x14ac:dyDescent="0.25">
      <c r="A188" s="95" t="s">
        <v>211</v>
      </c>
      <c r="B188" s="96"/>
      <c r="C188" s="110">
        <v>5020399000</v>
      </c>
      <c r="D188" s="494">
        <f>IFERROR(VLOOKUP(C188,[17]TB!$C$11:$Z$276,24,FALSE),0)</f>
        <v>90351210.140000001</v>
      </c>
      <c r="E188" s="494">
        <f>IFERROR(VLOOKUP(C188,[17]TB!$C$11:$AA$276,25,FALSE),0)</f>
        <v>0</v>
      </c>
      <c r="G188" s="86">
        <f t="shared" si="2"/>
        <v>90351210.140000001</v>
      </c>
    </row>
    <row r="189" spans="1:7" x14ac:dyDescent="0.25">
      <c r="A189" s="95" t="s">
        <v>503</v>
      </c>
      <c r="B189" s="85"/>
      <c r="C189" s="110">
        <v>5020321012</v>
      </c>
      <c r="D189" s="494">
        <f>IFERROR(VLOOKUP(C189,[17]TB!$C$11:$Z$276,24,FALSE),0)</f>
        <v>293096.96999999997</v>
      </c>
      <c r="E189" s="494">
        <f>IFERROR(VLOOKUP(C189,[17]TB!$C$11:$AA$276,25,FALSE),0)</f>
        <v>0</v>
      </c>
      <c r="G189" s="86">
        <f t="shared" si="2"/>
        <v>293096.96999999997</v>
      </c>
    </row>
    <row r="190" spans="1:7" x14ac:dyDescent="0.25">
      <c r="A190" s="95" t="s">
        <v>501</v>
      </c>
      <c r="B190" s="96"/>
      <c r="C190" s="110">
        <v>5020321013</v>
      </c>
      <c r="D190" s="494">
        <f>IFERROR(VLOOKUP(C190,[17]TB!$C$11:$Z$276,24,FALSE),0)</f>
        <v>0</v>
      </c>
      <c r="E190" s="494">
        <f>IFERROR(VLOOKUP(C190,[17]TB!$C$11:$AA$276,25,FALSE),0)</f>
        <v>0</v>
      </c>
      <c r="G190" s="86">
        <f t="shared" si="2"/>
        <v>0</v>
      </c>
    </row>
    <row r="191" spans="1:7" x14ac:dyDescent="0.25">
      <c r="A191" s="95" t="s">
        <v>373</v>
      </c>
      <c r="B191" s="96"/>
      <c r="C191" s="110">
        <v>5020321002</v>
      </c>
      <c r="D191" s="494">
        <f>IFERROR(VLOOKUP(C191,[17]TB!$C$11:$Z$276,24,FALSE),0)</f>
        <v>4111127.08</v>
      </c>
      <c r="E191" s="494">
        <f>IFERROR(VLOOKUP(C191,[17]TB!$C$11:$AA$276,25,FALSE),0)</f>
        <v>0</v>
      </c>
      <c r="G191" s="86">
        <f t="shared" si="2"/>
        <v>4111127.08</v>
      </c>
    </row>
    <row r="192" spans="1:7" x14ac:dyDescent="0.25">
      <c r="A192" s="95" t="s">
        <v>372</v>
      </c>
      <c r="B192" s="96"/>
      <c r="C192" s="110">
        <v>5020321003</v>
      </c>
      <c r="D192" s="494">
        <f>IFERROR(VLOOKUP(C192,[17]TB!$C$11:$Z$276,24,FALSE),0)</f>
        <v>42750707.810000002</v>
      </c>
      <c r="E192" s="494">
        <f>IFERROR(VLOOKUP(C192,[17]TB!$C$11:$AA$276,25,FALSE),0)</f>
        <v>0</v>
      </c>
      <c r="G192" s="86">
        <f t="shared" si="2"/>
        <v>42750707.810000002</v>
      </c>
    </row>
    <row r="193" spans="1:7" x14ac:dyDescent="0.25">
      <c r="A193" s="95" t="s">
        <v>374</v>
      </c>
      <c r="B193" s="96"/>
      <c r="C193" s="110">
        <v>5020321007</v>
      </c>
      <c r="D193" s="494">
        <f>IFERROR(VLOOKUP(C193,[17]TB!$C$11:$Z$276,24,FALSE),0)</f>
        <v>1804446.1</v>
      </c>
      <c r="E193" s="494">
        <f>IFERROR(VLOOKUP(C193,[17]TB!$C$11:$AA$276,25,FALSE),0)</f>
        <v>0</v>
      </c>
      <c r="G193" s="86">
        <f t="shared" si="2"/>
        <v>1804446.1</v>
      </c>
    </row>
    <row r="194" spans="1:7" x14ac:dyDescent="0.25">
      <c r="A194" s="95" t="s">
        <v>380</v>
      </c>
      <c r="B194" s="96"/>
      <c r="C194" s="110">
        <v>5020321001</v>
      </c>
      <c r="D194" s="494">
        <f>IFERROR(VLOOKUP(C194,[17]TB!$C$11:$Z$276,24,FALSE),0)</f>
        <v>164930</v>
      </c>
      <c r="E194" s="494">
        <f>IFERROR(VLOOKUP(C194,[17]TB!$C$11:$AA$276,25,FALSE),0)</f>
        <v>0</v>
      </c>
      <c r="G194" s="86">
        <f t="shared" si="2"/>
        <v>164930</v>
      </c>
    </row>
    <row r="195" spans="1:7" x14ac:dyDescent="0.25">
      <c r="A195" s="95" t="s">
        <v>376</v>
      </c>
      <c r="B195" s="96"/>
      <c r="C195" s="110">
        <v>5020321010</v>
      </c>
      <c r="D195" s="494">
        <f>IFERROR(VLOOKUP(C195,[17]TB!$C$11:$Z$276,24,FALSE),0)</f>
        <v>110468</v>
      </c>
      <c r="E195" s="494">
        <f>IFERROR(VLOOKUP(C195,[17]TB!$C$11:$AA$276,25,FALSE),0)</f>
        <v>0</v>
      </c>
      <c r="G195" s="86">
        <f t="shared" si="2"/>
        <v>110468</v>
      </c>
    </row>
    <row r="196" spans="1:7" x14ac:dyDescent="0.25">
      <c r="A196" s="95" t="s">
        <v>539</v>
      </c>
      <c r="B196" s="96"/>
      <c r="C196" s="110">
        <v>5020321099</v>
      </c>
      <c r="D196" s="494">
        <f>IFERROR(VLOOKUP(C196,[17]TB!$C$11:$Z$276,24,FALSE),0)</f>
        <v>1541043.5</v>
      </c>
      <c r="E196" s="494">
        <f>IFERROR(VLOOKUP(C196,[17]TB!$C$11:$AA$276,25,FALSE),0)</f>
        <v>0</v>
      </c>
      <c r="G196" s="86">
        <f t="shared" si="2"/>
        <v>1541043.5</v>
      </c>
    </row>
    <row r="197" spans="1:7" x14ac:dyDescent="0.25">
      <c r="A197" s="95" t="s">
        <v>375</v>
      </c>
      <c r="B197" s="96"/>
      <c r="C197" s="110">
        <v>5020322001</v>
      </c>
      <c r="D197" s="494">
        <f>IFERROR(VLOOKUP(C197,[17]TB!$C$11:$Z$276,24,FALSE),0)</f>
        <v>5887842.0099999998</v>
      </c>
      <c r="E197" s="494">
        <f>IFERROR(VLOOKUP(C197,[17]TB!$C$11:$AA$276,25,FALSE),0)</f>
        <v>0</v>
      </c>
      <c r="G197" s="86">
        <f t="shared" si="2"/>
        <v>5887842.0099999998</v>
      </c>
    </row>
    <row r="198" spans="1:7" x14ac:dyDescent="0.25">
      <c r="A198" s="95" t="s">
        <v>51</v>
      </c>
      <c r="B198" s="96"/>
      <c r="C198" s="110">
        <v>5020401000</v>
      </c>
      <c r="D198" s="494">
        <f>IFERROR(VLOOKUP(C198,[17]TB!$C$11:$Z$276,24,FALSE),0)</f>
        <v>1861114.27</v>
      </c>
      <c r="E198" s="494">
        <f>IFERROR(VLOOKUP(C198,[17]TB!$C$11:$AA$276,25,FALSE),0)</f>
        <v>0</v>
      </c>
      <c r="G198" s="86">
        <f t="shared" si="2"/>
        <v>1861114.27</v>
      </c>
    </row>
    <row r="199" spans="1:7" x14ac:dyDescent="0.25">
      <c r="A199" s="95" t="s">
        <v>52</v>
      </c>
      <c r="B199" s="96"/>
      <c r="C199" s="110">
        <v>5020402000</v>
      </c>
      <c r="D199" s="494">
        <f>IFERROR(VLOOKUP(C199,[17]TB!$C$11:$Z$276,24,FALSE),0)</f>
        <v>10320854.73</v>
      </c>
      <c r="E199" s="494">
        <f>IFERROR(VLOOKUP(C199,[17]TB!$C$11:$AA$276,25,FALSE),0)</f>
        <v>0</v>
      </c>
      <c r="G199" s="86">
        <f t="shared" si="2"/>
        <v>10320854.73</v>
      </c>
    </row>
    <row r="200" spans="1:7" x14ac:dyDescent="0.25">
      <c r="A200" s="95" t="s">
        <v>406</v>
      </c>
      <c r="B200" s="96"/>
      <c r="C200" s="110">
        <v>5020501000</v>
      </c>
      <c r="D200" s="494">
        <f>IFERROR(VLOOKUP(C200,[17]TB!$C$11:$Z$276,24,FALSE),0)</f>
        <v>388812</v>
      </c>
      <c r="E200" s="494">
        <f>IFERROR(VLOOKUP(C200,[17]TB!$C$11:$AA$276,25,FALSE),0)</f>
        <v>0</v>
      </c>
      <c r="G200" s="86">
        <f t="shared" si="2"/>
        <v>388812</v>
      </c>
    </row>
    <row r="201" spans="1:7" x14ac:dyDescent="0.25">
      <c r="A201" s="95" t="s">
        <v>54</v>
      </c>
      <c r="B201" s="96"/>
      <c r="C201" s="110">
        <v>5020502002</v>
      </c>
      <c r="D201" s="494">
        <f>IFERROR(VLOOKUP(C201,[17]TB!$C$11:$Z$276,24,FALSE),0)</f>
        <v>23541.59</v>
      </c>
      <c r="E201" s="494">
        <f>IFERROR(VLOOKUP(C201,[17]TB!$C$11:$AA$276,25,FALSE),0)</f>
        <v>0</v>
      </c>
      <c r="G201" s="86">
        <f t="shared" si="2"/>
        <v>23541.59</v>
      </c>
    </row>
    <row r="202" spans="1:7" x14ac:dyDescent="0.25">
      <c r="A202" s="95" t="s">
        <v>55</v>
      </c>
      <c r="B202" s="96"/>
      <c r="C202" s="110">
        <v>5020502001</v>
      </c>
      <c r="D202" s="494">
        <f>IFERROR(VLOOKUP(C202,[17]TB!$C$11:$Z$276,24,FALSE),0)</f>
        <v>7953919.5099999998</v>
      </c>
      <c r="E202" s="494">
        <f>IFERROR(VLOOKUP(C202,[17]TB!$C$11:$AA$276,25,FALSE),0)</f>
        <v>0</v>
      </c>
      <c r="G202" s="86">
        <f t="shared" si="2"/>
        <v>7953919.5099999998</v>
      </c>
    </row>
    <row r="203" spans="1:7" x14ac:dyDescent="0.25">
      <c r="A203" s="95" t="s">
        <v>146</v>
      </c>
      <c r="B203" s="96"/>
      <c r="C203" s="110">
        <v>5020503000</v>
      </c>
      <c r="D203" s="494">
        <f>IFERROR(VLOOKUP(C203,[17]TB!$C$11:$Z$276,24,FALSE),0)</f>
        <v>6280488.0999999996</v>
      </c>
      <c r="E203" s="494">
        <f>IFERROR(VLOOKUP(C203,[17]TB!$C$11:$AA$276,25,FALSE),0)</f>
        <v>0</v>
      </c>
      <c r="G203" s="86">
        <f t="shared" si="2"/>
        <v>6280488.0999999996</v>
      </c>
    </row>
    <row r="204" spans="1:7" x14ac:dyDescent="0.25">
      <c r="A204" s="95" t="s">
        <v>56</v>
      </c>
      <c r="B204" s="96"/>
      <c r="C204" s="110">
        <v>5020504000</v>
      </c>
      <c r="D204" s="494">
        <f>IFERROR(VLOOKUP(C204,[17]TB!$C$11:$Z$276,24,FALSE),0)</f>
        <v>4281</v>
      </c>
      <c r="E204" s="494">
        <f>IFERROR(VLOOKUP(C204,[17]TB!$C$11:$AA$276,25,FALSE),0)</f>
        <v>0</v>
      </c>
      <c r="G204" s="86">
        <f t="shared" si="2"/>
        <v>4281</v>
      </c>
    </row>
    <row r="205" spans="1:7" x14ac:dyDescent="0.25">
      <c r="A205" s="95" t="s">
        <v>57</v>
      </c>
      <c r="B205" s="96"/>
      <c r="C205" s="110">
        <v>5029906000</v>
      </c>
      <c r="D205" s="494">
        <f>IFERROR(VLOOKUP(C205,[17]TB!$C$11:$Z$276,24,FALSE),0)</f>
        <v>0</v>
      </c>
      <c r="E205" s="494">
        <f>IFERROR(VLOOKUP(C205,[17]TB!$C$11:$AA$276,25,FALSE),0)</f>
        <v>0</v>
      </c>
      <c r="G205" s="86">
        <f t="shared" ref="G205:G269" si="3">SUM(D205:E205)</f>
        <v>0</v>
      </c>
    </row>
    <row r="206" spans="1:7" x14ac:dyDescent="0.25">
      <c r="A206" s="7" t="s">
        <v>147</v>
      </c>
      <c r="B206" s="96"/>
      <c r="C206" s="110">
        <v>5020601001</v>
      </c>
      <c r="D206" s="494">
        <f>IFERROR(VLOOKUP(C206,[17]TB!$C$11:$Z$276,24,FALSE),0)</f>
        <v>100000</v>
      </c>
      <c r="E206" s="494">
        <f>IFERROR(VLOOKUP(C206,[17]TB!$C$11:$AA$276,25,FALSE),0)</f>
        <v>0</v>
      </c>
      <c r="G206" s="86">
        <f t="shared" si="3"/>
        <v>100000</v>
      </c>
    </row>
    <row r="207" spans="1:7" x14ac:dyDescent="0.25">
      <c r="A207" s="101" t="s">
        <v>209</v>
      </c>
      <c r="B207" s="96"/>
      <c r="C207" s="110">
        <v>5020901002</v>
      </c>
      <c r="D207" s="494">
        <f>IFERROR(VLOOKUP(C207,[17]TB!$C$11:$Z$276,24,FALSE),0)</f>
        <v>0</v>
      </c>
      <c r="E207" s="494">
        <f>IFERROR(VLOOKUP(C207,[17]TB!$C$11:$AA$276,25,FALSE),0)</f>
        <v>0</v>
      </c>
      <c r="G207" s="86">
        <f t="shared" si="3"/>
        <v>0</v>
      </c>
    </row>
    <row r="208" spans="1:7" x14ac:dyDescent="0.25">
      <c r="A208" s="95" t="s">
        <v>210</v>
      </c>
      <c r="B208" s="96"/>
      <c r="C208" s="110">
        <v>5020602000</v>
      </c>
      <c r="D208" s="494">
        <f>IFERROR(VLOOKUP(C208,[17]TB!$C$11:$Z$276,24,FALSE),0)</f>
        <v>11000</v>
      </c>
      <c r="E208" s="494">
        <f>IFERROR(VLOOKUP(C208,[17]TB!$C$11:$AA$276,25,FALSE),0)</f>
        <v>0</v>
      </c>
      <c r="G208" s="86">
        <f t="shared" si="3"/>
        <v>11000</v>
      </c>
    </row>
    <row r="209" spans="1:7" x14ac:dyDescent="0.25">
      <c r="A209" s="95" t="s">
        <v>540</v>
      </c>
      <c r="B209" s="96"/>
      <c r="C209" s="110">
        <v>5029901000</v>
      </c>
      <c r="D209" s="494">
        <f>IFERROR(VLOOKUP(C209,[17]TB!$C$11:$Z$276,24,FALSE),0)</f>
        <v>1599238.24</v>
      </c>
      <c r="E209" s="494">
        <f>IFERROR(VLOOKUP(C209,[17]TB!$C$11:$AA$276,25,FALSE),0)</f>
        <v>0</v>
      </c>
      <c r="G209" s="86">
        <f t="shared" si="3"/>
        <v>1599238.24</v>
      </c>
    </row>
    <row r="210" spans="1:7" x14ac:dyDescent="0.25">
      <c r="A210" s="95" t="s">
        <v>148</v>
      </c>
      <c r="B210" s="96"/>
      <c r="C210" s="110">
        <v>5029902000</v>
      </c>
      <c r="D210" s="494">
        <f>IFERROR(VLOOKUP(C210,[17]TB!$C$11:$Z$276,24,FALSE),0)</f>
        <v>2002899.96</v>
      </c>
      <c r="E210" s="494">
        <f>IFERROR(VLOOKUP(C210,[17]TB!$C$11:$AA$276,25,FALSE),0)</f>
        <v>0</v>
      </c>
      <c r="G210" s="86">
        <f t="shared" si="3"/>
        <v>2002899.96</v>
      </c>
    </row>
    <row r="211" spans="1:7" x14ac:dyDescent="0.25">
      <c r="A211" s="95" t="s">
        <v>59</v>
      </c>
      <c r="B211" s="96"/>
      <c r="C211" s="110">
        <v>5029903000</v>
      </c>
      <c r="D211" s="494">
        <f>IFERROR(VLOOKUP(C211,[17]TB!$C$11:$Z$276,24,FALSE),0)</f>
        <v>13657298.08</v>
      </c>
      <c r="E211" s="494">
        <f>IFERROR(VLOOKUP(C211,[17]TB!$C$11:$AA$276,25,FALSE),0)</f>
        <v>0</v>
      </c>
      <c r="G211" s="86">
        <f t="shared" si="3"/>
        <v>13657298.08</v>
      </c>
    </row>
    <row r="212" spans="1:7" x14ac:dyDescent="0.25">
      <c r="A212" s="95" t="s">
        <v>60</v>
      </c>
      <c r="B212" s="96"/>
      <c r="C212" s="110">
        <v>5029904000</v>
      </c>
      <c r="D212" s="494">
        <f>IFERROR(VLOOKUP(C212,[17]TB!$C$11:$Z$276,24,FALSE),0)</f>
        <v>497700</v>
      </c>
      <c r="E212" s="494">
        <f>IFERROR(VLOOKUP(C212,[17]TB!$C$11:$AA$276,25,FALSE),0)</f>
        <v>0</v>
      </c>
      <c r="G212" s="86">
        <f t="shared" si="3"/>
        <v>497700</v>
      </c>
    </row>
    <row r="213" spans="1:7" x14ac:dyDescent="0.25">
      <c r="A213" s="95" t="s">
        <v>407</v>
      </c>
      <c r="B213" s="96"/>
      <c r="C213" s="110">
        <v>5029905001</v>
      </c>
      <c r="D213" s="494">
        <f>IFERROR(VLOOKUP(C213,[17]TB!$C$11:$Z$276,24,FALSE),0)</f>
        <v>5074521.05</v>
      </c>
      <c r="E213" s="494">
        <f>IFERROR(VLOOKUP(C213,[17]TB!$C$11:$AA$276,25,FALSE),0)</f>
        <v>0</v>
      </c>
      <c r="G213" s="86">
        <f t="shared" si="3"/>
        <v>5074521.05</v>
      </c>
    </row>
    <row r="214" spans="1:7" x14ac:dyDescent="0.25">
      <c r="A214" s="95" t="s">
        <v>408</v>
      </c>
      <c r="B214" s="96"/>
      <c r="C214" s="110">
        <v>5029905003</v>
      </c>
      <c r="D214" s="494">
        <f>IFERROR(VLOOKUP(C214,[17]TB!$C$11:$Z$276,24,FALSE),0)</f>
        <v>9425550</v>
      </c>
      <c r="E214" s="494">
        <f>IFERROR(VLOOKUP(C214,[17]TB!$C$11:$AA$276,25,FALSE),0)</f>
        <v>0</v>
      </c>
      <c r="G214" s="86">
        <f t="shared" si="3"/>
        <v>9425550</v>
      </c>
    </row>
    <row r="215" spans="1:7" x14ac:dyDescent="0.25">
      <c r="A215" s="95" t="s">
        <v>409</v>
      </c>
      <c r="B215" s="96"/>
      <c r="C215" s="110">
        <v>5029905004</v>
      </c>
      <c r="D215" s="494">
        <f>IFERROR(VLOOKUP(C215,[17]TB!$C$11:$Z$276,24,FALSE),0)</f>
        <v>0</v>
      </c>
      <c r="E215" s="494">
        <f>IFERROR(VLOOKUP(C215,[17]TB!$C$11:$AA$276,25,FALSE),0)</f>
        <v>0</v>
      </c>
      <c r="G215" s="86">
        <f t="shared" si="3"/>
        <v>0</v>
      </c>
    </row>
    <row r="216" spans="1:7" x14ac:dyDescent="0.25">
      <c r="A216" s="95" t="s">
        <v>410</v>
      </c>
      <c r="B216" s="96"/>
      <c r="C216" s="110">
        <v>5029905005</v>
      </c>
      <c r="D216" s="494">
        <f>IFERROR(VLOOKUP(C216,[17]TB!$C$11:$Z$276,24,FALSE),0)</f>
        <v>0</v>
      </c>
      <c r="E216" s="494">
        <f>IFERROR(VLOOKUP(C216,[17]TB!$C$11:$AA$276,25,FALSE),0)</f>
        <v>0</v>
      </c>
      <c r="G216" s="86">
        <f t="shared" si="3"/>
        <v>0</v>
      </c>
    </row>
    <row r="217" spans="1:7" x14ac:dyDescent="0.25">
      <c r="A217" s="95" t="s">
        <v>153</v>
      </c>
      <c r="B217" s="96"/>
      <c r="C217" s="110">
        <v>5029905006</v>
      </c>
      <c r="D217" s="494">
        <f>IFERROR(VLOOKUP(C217,[17]TB!$C$11:$Z$276,24,FALSE),0)</f>
        <v>0</v>
      </c>
      <c r="E217" s="494">
        <f>IFERROR(VLOOKUP(C217,[17]TB!$C$11:$AA$276,25,FALSE),0)</f>
        <v>0</v>
      </c>
      <c r="G217" s="86">
        <f t="shared" si="3"/>
        <v>0</v>
      </c>
    </row>
    <row r="218" spans="1:7" x14ac:dyDescent="0.25">
      <c r="A218" s="144" t="s">
        <v>416</v>
      </c>
      <c r="B218" s="145"/>
      <c r="C218" s="146">
        <v>5029905008</v>
      </c>
      <c r="D218" s="494">
        <f>IFERROR(VLOOKUP(C218,[17]TB!$C$11:$Z$276,24,FALSE),0)</f>
        <v>0</v>
      </c>
      <c r="E218" s="494">
        <f>IFERROR(VLOOKUP(C218,[17]TB!$C$11:$AA$276,25,FALSE),0)</f>
        <v>0</v>
      </c>
      <c r="G218" s="86">
        <f t="shared" si="3"/>
        <v>0</v>
      </c>
    </row>
    <row r="219" spans="1:7" x14ac:dyDescent="0.25">
      <c r="A219" s="95" t="s">
        <v>61</v>
      </c>
      <c r="B219" s="96"/>
      <c r="C219" s="110">
        <v>5029907000</v>
      </c>
      <c r="D219" s="494">
        <f>IFERROR(VLOOKUP(C219,[17]TB!$C$11:$Z$276,24,FALSE),0)</f>
        <v>655281.54</v>
      </c>
      <c r="E219" s="494">
        <f>IFERROR(VLOOKUP(C219,[17]TB!$C$11:$AA$276,25,FALSE),0)</f>
        <v>0</v>
      </c>
      <c r="G219" s="86">
        <f t="shared" si="3"/>
        <v>655281.54</v>
      </c>
    </row>
    <row r="220" spans="1:7" x14ac:dyDescent="0.25">
      <c r="A220" s="167" t="s">
        <v>458</v>
      </c>
      <c r="B220" s="168"/>
      <c r="C220" s="166">
        <v>5029907001</v>
      </c>
      <c r="D220" s="494">
        <f>IFERROR(VLOOKUP(C220,[17]TB!$C$11:$Z$276,24,FALSE),0)</f>
        <v>0</v>
      </c>
      <c r="E220" s="494">
        <f>IFERROR(VLOOKUP(C220,[17]TB!$C$11:$AA$276,25,FALSE),0)</f>
        <v>0</v>
      </c>
      <c r="G220" s="86">
        <f t="shared" si="3"/>
        <v>0</v>
      </c>
    </row>
    <row r="221" spans="1:7" x14ac:dyDescent="0.25">
      <c r="A221" s="95" t="s">
        <v>154</v>
      </c>
      <c r="B221" s="96"/>
      <c r="C221" s="110">
        <v>5021101000</v>
      </c>
      <c r="D221" s="494">
        <f>IFERROR(VLOOKUP(C221,[17]TB!$C$11:$Z$276,24,FALSE),0)</f>
        <v>0</v>
      </c>
      <c r="E221" s="494">
        <f>IFERROR(VLOOKUP(C221,[17]TB!$C$11:$AA$276,25,FALSE),0)</f>
        <v>0</v>
      </c>
      <c r="G221" s="86">
        <f t="shared" si="3"/>
        <v>0</v>
      </c>
    </row>
    <row r="222" spans="1:7" x14ac:dyDescent="0.25">
      <c r="A222" s="95" t="s">
        <v>62</v>
      </c>
      <c r="B222" s="96"/>
      <c r="C222" s="110">
        <v>5021102000</v>
      </c>
      <c r="D222" s="494">
        <f>IFERROR(VLOOKUP(C222,[17]TB!$C$11:$Z$276,24,FALSE),0)</f>
        <v>122640</v>
      </c>
      <c r="E222" s="494">
        <f>IFERROR(VLOOKUP(C222,[17]TB!$C$11:$AA$276,25,FALSE),0)</f>
        <v>0</v>
      </c>
      <c r="G222" s="86">
        <f t="shared" si="3"/>
        <v>122640</v>
      </c>
    </row>
    <row r="223" spans="1:7" x14ac:dyDescent="0.25">
      <c r="A223" s="95" t="s">
        <v>63</v>
      </c>
      <c r="B223" s="96"/>
      <c r="C223" s="110">
        <v>5021103002</v>
      </c>
      <c r="D223" s="494">
        <f>IFERROR(VLOOKUP(C223,[17]TB!$C$11:$Z$276,24,FALSE),0)</f>
        <v>0</v>
      </c>
      <c r="E223" s="494">
        <f>IFERROR(VLOOKUP(C223,[17]TB!$C$11:$AA$276,25,FALSE),0)</f>
        <v>0</v>
      </c>
      <c r="G223" s="86">
        <f t="shared" si="3"/>
        <v>0</v>
      </c>
    </row>
    <row r="224" spans="1:7" x14ac:dyDescent="0.25">
      <c r="A224" s="95" t="s">
        <v>64</v>
      </c>
      <c r="B224" s="96"/>
      <c r="C224" s="110">
        <v>5021202000</v>
      </c>
      <c r="D224" s="494">
        <f>IFERROR(VLOOKUP(C224,[17]TB!$C$11:$Z$276,24,FALSE),0)</f>
        <v>2231723.37</v>
      </c>
      <c r="E224" s="494">
        <f>IFERROR(VLOOKUP(C224,[17]TB!$C$11:$AA$276,25,FALSE),0)</f>
        <v>0</v>
      </c>
      <c r="G224" s="86">
        <f t="shared" si="3"/>
        <v>2231723.37</v>
      </c>
    </row>
    <row r="225" spans="1:7" x14ac:dyDescent="0.25">
      <c r="A225" s="95" t="s">
        <v>65</v>
      </c>
      <c r="B225" s="96"/>
      <c r="C225" s="110">
        <v>5021203000</v>
      </c>
      <c r="D225" s="494">
        <f>IFERROR(VLOOKUP(C225,[17]TB!$C$11:$Z$276,24,FALSE),0)</f>
        <v>14762788.01</v>
      </c>
      <c r="E225" s="494">
        <f>IFERROR(VLOOKUP(C225,[17]TB!$C$11:$AA$276,25,FALSE),0)</f>
        <v>0</v>
      </c>
      <c r="G225" s="86">
        <f t="shared" si="3"/>
        <v>14762788.01</v>
      </c>
    </row>
    <row r="226" spans="1:7" x14ac:dyDescent="0.25">
      <c r="A226" s="95" t="s">
        <v>66</v>
      </c>
      <c r="B226" s="96"/>
      <c r="C226" s="110">
        <v>5021199000</v>
      </c>
      <c r="D226" s="494">
        <f>IFERROR(VLOOKUP(C226,[17]TB!$C$11:$Z$276,24,FALSE),0)</f>
        <v>320685054.14999998</v>
      </c>
      <c r="E226" s="494">
        <f>IFERROR(VLOOKUP(C226,[17]TB!$C$11:$AA$276,25,FALSE),0)</f>
        <v>0</v>
      </c>
      <c r="G226" s="86">
        <f t="shared" si="3"/>
        <v>320685054.14999998</v>
      </c>
    </row>
    <row r="227" spans="1:7" x14ac:dyDescent="0.25">
      <c r="A227" s="95" t="s">
        <v>208</v>
      </c>
      <c r="B227" s="96"/>
      <c r="C227" s="96">
        <v>5021299000</v>
      </c>
      <c r="D227" s="494">
        <f>IFERROR(VLOOKUP(C227,[17]TB!$C$11:$Z$276,24,FALSE),0)</f>
        <v>0</v>
      </c>
      <c r="E227" s="494">
        <f>IFERROR(VLOOKUP(C227,[17]TB!$C$11:$AA$276,25,FALSE),0)</f>
        <v>0</v>
      </c>
      <c r="G227" s="86">
        <f t="shared" si="3"/>
        <v>0</v>
      </c>
    </row>
    <row r="228" spans="1:7" x14ac:dyDescent="0.25">
      <c r="A228" s="95" t="s">
        <v>155</v>
      </c>
      <c r="B228" s="96"/>
      <c r="C228" s="110">
        <v>5021304001</v>
      </c>
      <c r="D228" s="494">
        <f>IFERROR(VLOOKUP(C228,[17]TB!$C$11:$Z$276,24,FALSE),0)</f>
        <v>9647742.2100000009</v>
      </c>
      <c r="E228" s="494">
        <f>IFERROR(VLOOKUP(C228,[17]TB!$C$11:$AA$276,25,FALSE),0)</f>
        <v>0</v>
      </c>
      <c r="G228" s="86">
        <f t="shared" si="3"/>
        <v>9647742.2100000009</v>
      </c>
    </row>
    <row r="229" spans="1:7" x14ac:dyDescent="0.25">
      <c r="A229" s="95" t="s">
        <v>156</v>
      </c>
      <c r="B229" s="96"/>
      <c r="C229" s="110">
        <v>5021304006</v>
      </c>
      <c r="D229" s="494">
        <f>IFERROR(VLOOKUP(C229,[17]TB!$C$11:$Z$276,24,FALSE),0)</f>
        <v>0</v>
      </c>
      <c r="E229" s="494">
        <f>IFERROR(VLOOKUP(C229,[17]TB!$C$11:$AA$276,25,FALSE),0)</f>
        <v>0</v>
      </c>
      <c r="G229" s="86">
        <f t="shared" si="3"/>
        <v>0</v>
      </c>
    </row>
    <row r="230" spans="1:7" x14ac:dyDescent="0.25">
      <c r="A230" s="95" t="s">
        <v>157</v>
      </c>
      <c r="B230" s="96"/>
      <c r="C230" s="110">
        <v>5021304099</v>
      </c>
      <c r="D230" s="494">
        <f>IFERROR(VLOOKUP(C230,[17]TB!$C$11:$Z$276,24,FALSE),0)</f>
        <v>1308999.58</v>
      </c>
      <c r="E230" s="494">
        <f>IFERROR(VLOOKUP(C230,[17]TB!$C$11:$AA$276,25,FALSE),0)</f>
        <v>0</v>
      </c>
      <c r="G230" s="86">
        <f t="shared" si="3"/>
        <v>1308999.58</v>
      </c>
    </row>
    <row r="231" spans="1:7" x14ac:dyDescent="0.25">
      <c r="A231" s="95" t="s">
        <v>158</v>
      </c>
      <c r="B231" s="96"/>
      <c r="C231" s="110">
        <v>5021309000</v>
      </c>
      <c r="D231" s="494">
        <f>IFERROR(VLOOKUP(C231,[17]TB!$C$11:$Z$276,24,FALSE),0)</f>
        <v>0</v>
      </c>
      <c r="E231" s="494">
        <f>IFERROR(VLOOKUP(C231,[17]TB!$C$11:$AA$276,25,FALSE),0)</f>
        <v>0</v>
      </c>
      <c r="G231" s="86">
        <f t="shared" si="3"/>
        <v>0</v>
      </c>
    </row>
    <row r="232" spans="1:7" x14ac:dyDescent="0.25">
      <c r="A232" s="95" t="s">
        <v>67</v>
      </c>
      <c r="B232" s="96"/>
      <c r="C232" s="110">
        <v>5021307000</v>
      </c>
      <c r="D232" s="494">
        <f>IFERROR(VLOOKUP(C232,[17]TB!$C$11:$Z$276,24,FALSE),0)</f>
        <v>3107</v>
      </c>
      <c r="E232" s="494">
        <f>IFERROR(VLOOKUP(C232,[17]TB!$C$11:$AA$276,25,FALSE),0)</f>
        <v>0</v>
      </c>
      <c r="G232" s="86">
        <f t="shared" si="3"/>
        <v>3107</v>
      </c>
    </row>
    <row r="233" spans="1:7" x14ac:dyDescent="0.25">
      <c r="A233" s="280" t="s">
        <v>483</v>
      </c>
      <c r="B233" s="281"/>
      <c r="C233" s="282">
        <v>5021305001</v>
      </c>
      <c r="D233" s="494">
        <f>IFERROR(VLOOKUP(C233,[17]TB!$C$11:$Z$276,24,FALSE),0)</f>
        <v>2507</v>
      </c>
      <c r="E233" s="494">
        <f>IFERROR(VLOOKUP(C233,[17]TB!$C$11:$AA$276,25,FALSE),0)</f>
        <v>0</v>
      </c>
      <c r="G233" s="86">
        <f t="shared" si="3"/>
        <v>2507</v>
      </c>
    </row>
    <row r="234" spans="1:7" x14ac:dyDescent="0.25">
      <c r="A234" s="95" t="s">
        <v>159</v>
      </c>
      <c r="B234" s="96"/>
      <c r="C234" s="110">
        <v>5021305002</v>
      </c>
      <c r="D234" s="494">
        <f>IFERROR(VLOOKUP(C234,[17]TB!$C$11:$Z$276,24,FALSE),0)</f>
        <v>1080</v>
      </c>
      <c r="E234" s="494">
        <f>IFERROR(VLOOKUP(C234,[17]TB!$C$11:$AA$276,25,FALSE),0)</f>
        <v>0</v>
      </c>
      <c r="G234" s="86">
        <f t="shared" si="3"/>
        <v>1080</v>
      </c>
    </row>
    <row r="235" spans="1:7" x14ac:dyDescent="0.25">
      <c r="A235" s="95" t="s">
        <v>160</v>
      </c>
      <c r="B235" s="96"/>
      <c r="C235" s="110">
        <v>5021305003</v>
      </c>
      <c r="D235" s="494">
        <f>IFERROR(VLOOKUP(C235,[17]TB!$C$11:$Z$276,24,FALSE),0)</f>
        <v>135000</v>
      </c>
      <c r="E235" s="494">
        <f>IFERROR(VLOOKUP(C235,[17]TB!$C$11:$AA$276,25,FALSE),0)</f>
        <v>0</v>
      </c>
      <c r="G235" s="86">
        <f t="shared" si="3"/>
        <v>135000</v>
      </c>
    </row>
    <row r="236" spans="1:7" x14ac:dyDescent="0.25">
      <c r="A236" s="95" t="s">
        <v>161</v>
      </c>
      <c r="B236" s="96"/>
      <c r="C236" s="110">
        <v>5021305007</v>
      </c>
      <c r="D236" s="494">
        <f>IFERROR(VLOOKUP(C236,[17]TB!$C$11:$Z$276,24,FALSE),0)</f>
        <v>0</v>
      </c>
      <c r="E236" s="494">
        <f>IFERROR(VLOOKUP(C236,[17]TB!$C$11:$AA$276,25,FALSE),0)</f>
        <v>0</v>
      </c>
      <c r="G236" s="86">
        <f t="shared" si="3"/>
        <v>0</v>
      </c>
    </row>
    <row r="237" spans="1:7" x14ac:dyDescent="0.25">
      <c r="A237" s="95" t="s">
        <v>162</v>
      </c>
      <c r="B237" s="96"/>
      <c r="C237" s="110">
        <v>5021305099</v>
      </c>
      <c r="D237" s="494">
        <f>IFERROR(VLOOKUP(C237,[17]TB!$C$11:$Z$276,24,FALSE),0)</f>
        <v>1016723</v>
      </c>
      <c r="E237" s="494">
        <f>IFERROR(VLOOKUP(C237,[17]TB!$C$11:$AA$276,25,FALSE),0)</f>
        <v>0</v>
      </c>
      <c r="G237" s="86">
        <f t="shared" si="3"/>
        <v>1016723</v>
      </c>
    </row>
    <row r="238" spans="1:7" x14ac:dyDescent="0.25">
      <c r="A238" s="95" t="s">
        <v>163</v>
      </c>
      <c r="B238" s="96"/>
      <c r="C238" s="110">
        <v>5021306001</v>
      </c>
      <c r="D238" s="494">
        <f>IFERROR(VLOOKUP(C238,[17]TB!$C$11:$Z$276,24,FALSE),0)</f>
        <v>5705692.79</v>
      </c>
      <c r="E238" s="494">
        <f>IFERROR(VLOOKUP(C238,[17]TB!$C$11:$AA$276,25,FALSE),0)</f>
        <v>0</v>
      </c>
      <c r="G238" s="86">
        <f t="shared" si="3"/>
        <v>5705692.79</v>
      </c>
    </row>
    <row r="239" spans="1:7" x14ac:dyDescent="0.25">
      <c r="A239" s="95" t="s">
        <v>68</v>
      </c>
      <c r="B239" s="96"/>
      <c r="C239" s="110">
        <v>5021399099</v>
      </c>
      <c r="D239" s="494">
        <f>IFERROR(VLOOKUP(C239,[17]TB!$C$11:$Z$276,24,FALSE),0)</f>
        <v>0</v>
      </c>
      <c r="E239" s="494">
        <f>IFERROR(VLOOKUP(C239,[17]TB!$C$11:$AA$276,25,FALSE),0)</f>
        <v>0</v>
      </c>
      <c r="G239" s="86">
        <f t="shared" si="3"/>
        <v>0</v>
      </c>
    </row>
    <row r="240" spans="1:7" x14ac:dyDescent="0.25">
      <c r="A240" s="95" t="s">
        <v>69</v>
      </c>
      <c r="B240" s="96"/>
      <c r="C240" s="110">
        <v>5029908000</v>
      </c>
      <c r="D240" s="494">
        <f>IFERROR(VLOOKUP(C240,[17]TB!$C$11:$Z$276,24,FALSE),0)</f>
        <v>0</v>
      </c>
      <c r="E240" s="494">
        <f>IFERROR(VLOOKUP(C240,[17]TB!$C$11:$AA$276,25,FALSE),0)</f>
        <v>0</v>
      </c>
      <c r="G240" s="86">
        <f t="shared" si="3"/>
        <v>0</v>
      </c>
    </row>
    <row r="241" spans="1:9" x14ac:dyDescent="0.25">
      <c r="A241" s="95" t="s">
        <v>164</v>
      </c>
      <c r="B241" s="96"/>
      <c r="C241" s="110">
        <v>5021402000</v>
      </c>
      <c r="D241" s="494">
        <f>IFERROR(VLOOKUP(C241,[17]TB!$C$11:$Z$276,24,FALSE),0)</f>
        <v>0</v>
      </c>
      <c r="E241" s="494">
        <f>IFERROR(VLOOKUP(C241,[17]TB!$C$11:$AA$276,25,FALSE),0)</f>
        <v>0</v>
      </c>
      <c r="G241" s="86">
        <f t="shared" si="3"/>
        <v>0</v>
      </c>
    </row>
    <row r="242" spans="1:9" x14ac:dyDescent="0.25">
      <c r="A242" s="95" t="s">
        <v>165</v>
      </c>
      <c r="B242" s="96"/>
      <c r="C242" s="110">
        <v>5021403000</v>
      </c>
      <c r="D242" s="494">
        <f>IFERROR(VLOOKUP(C242,[17]TB!$C$11:$Z$276,24,FALSE),0)</f>
        <v>0</v>
      </c>
      <c r="E242" s="494">
        <f>IFERROR(VLOOKUP(C242,[17]TB!$C$11:$AA$276,25,FALSE),0)</f>
        <v>0</v>
      </c>
      <c r="G242" s="86">
        <f t="shared" si="3"/>
        <v>0</v>
      </c>
    </row>
    <row r="243" spans="1:9" x14ac:dyDescent="0.25">
      <c r="A243" s="95" t="s">
        <v>166</v>
      </c>
      <c r="B243" s="96"/>
      <c r="C243" s="110">
        <v>5021405000</v>
      </c>
      <c r="D243" s="494">
        <f>IFERROR(VLOOKUP(C243,[17]TB!$C$11:$Z$276,24,FALSE),0)</f>
        <v>0</v>
      </c>
      <c r="E243" s="494">
        <f>IFERROR(VLOOKUP(C243,[17]TB!$C$11:$AA$276,25,FALSE),0)</f>
        <v>0</v>
      </c>
      <c r="G243" s="86">
        <f t="shared" si="3"/>
        <v>0</v>
      </c>
    </row>
    <row r="244" spans="1:9" x14ac:dyDescent="0.25">
      <c r="A244" s="95" t="s">
        <v>167</v>
      </c>
      <c r="B244" s="96"/>
      <c r="C244" s="110">
        <v>5021499000</v>
      </c>
      <c r="D244" s="494">
        <f>IFERROR(VLOOKUP(C244,[17]TB!$C$11:$Z$276,24,FALSE),0)</f>
        <v>7371388425.0100002</v>
      </c>
      <c r="E244" s="494">
        <f>IFERROR(VLOOKUP(C244,[17]TB!$C$11:$AA$276,25,FALSE),0)</f>
        <v>0</v>
      </c>
      <c r="G244" s="86">
        <f t="shared" si="3"/>
        <v>7371388425.0100002</v>
      </c>
      <c r="H244" s="86"/>
    </row>
    <row r="245" spans="1:9" x14ac:dyDescent="0.25">
      <c r="A245" s="95" t="s">
        <v>442</v>
      </c>
      <c r="B245" s="96"/>
      <c r="C245" s="110">
        <v>5021407000</v>
      </c>
      <c r="D245" s="494">
        <f>IFERROR(VLOOKUP(C245,[17]TB!$C$11:$Z$276,24,FALSE),0)</f>
        <v>24573473.57</v>
      </c>
      <c r="E245" s="494">
        <f>IFERROR(VLOOKUP(C245,[17]TB!$C$11:$AA$276,25,FALSE),0)</f>
        <v>0</v>
      </c>
      <c r="G245" s="86">
        <f t="shared" si="3"/>
        <v>24573473.57</v>
      </c>
      <c r="H245" s="86"/>
    </row>
    <row r="246" spans="1:9" x14ac:dyDescent="0.25">
      <c r="A246" s="95" t="s">
        <v>541</v>
      </c>
      <c r="B246" s="96"/>
      <c r="C246" s="110">
        <v>5030104000</v>
      </c>
      <c r="D246" s="494">
        <f>IFERROR(VLOOKUP(C246,[17]TB!$C$11:$Z$276,24,FALSE),0)</f>
        <v>0</v>
      </c>
      <c r="E246" s="494">
        <f>IFERROR(VLOOKUP(C246,[17]TB!$C$11:$AA$276,25,FALSE),0)</f>
        <v>0</v>
      </c>
      <c r="G246" s="86">
        <f t="shared" si="3"/>
        <v>0</v>
      </c>
    </row>
    <row r="247" spans="1:9" x14ac:dyDescent="0.25">
      <c r="A247" s="508" t="s">
        <v>546</v>
      </c>
      <c r="B247" s="509"/>
      <c r="C247" s="488">
        <v>5030199000</v>
      </c>
      <c r="D247" s="510">
        <f>IFERROR(VLOOKUP(C247,[17]TB!$C$11:$Z$276,24,FALSE),0)</f>
        <v>200</v>
      </c>
      <c r="E247" s="494">
        <f>IFERROR(VLOOKUP(C247,[17]TB!$C$11:$AA$276,25,FALSE),0)</f>
        <v>0</v>
      </c>
      <c r="G247" s="86">
        <f t="shared" si="3"/>
        <v>200</v>
      </c>
    </row>
    <row r="248" spans="1:9" x14ac:dyDescent="0.25">
      <c r="A248" s="95" t="s">
        <v>169</v>
      </c>
      <c r="B248" s="96"/>
      <c r="C248" s="110">
        <v>5021003000</v>
      </c>
      <c r="D248" s="494">
        <f>IFERROR(VLOOKUP(C248,[17]TB!$C$11:$Z$276,24,FALSE),0)</f>
        <v>135600</v>
      </c>
      <c r="E248" s="494">
        <f>IFERROR(VLOOKUP(C248,[17]TB!$C$11:$AA$276,25,FALSE),0)</f>
        <v>0</v>
      </c>
      <c r="G248" s="86">
        <f t="shared" si="3"/>
        <v>135600</v>
      </c>
    </row>
    <row r="249" spans="1:9" x14ac:dyDescent="0.25">
      <c r="A249" s="95" t="s">
        <v>70</v>
      </c>
      <c r="B249" s="96"/>
      <c r="C249" s="110">
        <v>5021502000</v>
      </c>
      <c r="D249" s="494">
        <f>IFERROR(VLOOKUP(C249,[17]TB!$C$11:$Z$276,24,FALSE),0)</f>
        <v>2911224.66</v>
      </c>
      <c r="E249" s="494">
        <f>IFERROR(VLOOKUP(C249,[17]TB!$C$11:$AA$276,25,FALSE),0)</f>
        <v>0</v>
      </c>
      <c r="G249" s="86">
        <f t="shared" si="3"/>
        <v>2911224.66</v>
      </c>
    </row>
    <row r="250" spans="1:9" x14ac:dyDescent="0.25">
      <c r="A250" s="95" t="s">
        <v>71</v>
      </c>
      <c r="B250" s="96"/>
      <c r="C250" s="110">
        <v>5021503000</v>
      </c>
      <c r="D250" s="494">
        <f>IFERROR(VLOOKUP(C250,[17]TB!$C$11:$Z$276,24,FALSE),0)</f>
        <v>1757189.85</v>
      </c>
      <c r="E250" s="494">
        <f>IFERROR(VLOOKUP(C250,[17]TB!$C$11:$AA$276,25,FALSE),0)</f>
        <v>0</v>
      </c>
      <c r="G250" s="86">
        <f t="shared" si="3"/>
        <v>1757189.85</v>
      </c>
    </row>
    <row r="251" spans="1:9" x14ac:dyDescent="0.25">
      <c r="A251" s="95" t="s">
        <v>170</v>
      </c>
      <c r="B251" s="96"/>
      <c r="C251" s="110">
        <v>5021601000</v>
      </c>
      <c r="D251" s="494">
        <f>IFERROR(VLOOKUP(C251,[17]TB!$C$11:$Z$276,24,FALSE),0)</f>
        <v>1456779.61</v>
      </c>
      <c r="E251" s="494">
        <f>IFERROR(VLOOKUP(C251,[17]TB!$C$11:$AA$276,25,FALSE),0)</f>
        <v>0</v>
      </c>
      <c r="G251" s="86">
        <f t="shared" si="3"/>
        <v>1456779.61</v>
      </c>
    </row>
    <row r="252" spans="1:9" x14ac:dyDescent="0.25">
      <c r="A252" s="95" t="s">
        <v>360</v>
      </c>
      <c r="B252" s="96"/>
      <c r="C252" s="110">
        <v>5050201002</v>
      </c>
      <c r="D252" s="494">
        <f>IFERROR(VLOOKUP(C252,[17]TB!$C$11:$Z$276,24,FALSE),0)</f>
        <v>94757.759999999995</v>
      </c>
      <c r="E252" s="494">
        <f>IFERROR(VLOOKUP(C252,[17]TB!$C$11:$AA$276,25,FALSE),0)</f>
        <v>0</v>
      </c>
      <c r="G252" s="86">
        <f t="shared" si="3"/>
        <v>94757.759999999995</v>
      </c>
    </row>
    <row r="253" spans="1:9" s="128" customFormat="1" x14ac:dyDescent="0.25">
      <c r="A253" s="141" t="s">
        <v>386</v>
      </c>
      <c r="B253" s="142"/>
      <c r="C253" s="132">
        <v>5050102099</v>
      </c>
      <c r="D253" s="494">
        <f>IFERROR(VLOOKUP(C253,[17]TB!$C$11:$Z$276,24,FALSE),0)</f>
        <v>33202.5</v>
      </c>
      <c r="E253" s="494">
        <f>IFERROR(VLOOKUP(C253,[17]TB!$C$11:$AA$276,25,FALSE),0)</f>
        <v>0</v>
      </c>
      <c r="G253" s="86">
        <f t="shared" si="3"/>
        <v>33202.5</v>
      </c>
      <c r="I253" s="276"/>
    </row>
    <row r="254" spans="1:9" x14ac:dyDescent="0.25">
      <c r="A254" s="95" t="s">
        <v>72</v>
      </c>
      <c r="B254" s="96"/>
      <c r="C254" s="110">
        <v>5050104001</v>
      </c>
      <c r="D254" s="494">
        <f>IFERROR(VLOOKUP(C254,[17]TB!$C$11:$Z$276,24,FALSE),0)</f>
        <v>4064499.79</v>
      </c>
      <c r="E254" s="494">
        <f>IFERROR(VLOOKUP(C254,[17]TB!$C$11:$AA$276,25,FALSE),0)</f>
        <v>0</v>
      </c>
      <c r="G254" s="86">
        <f t="shared" si="3"/>
        <v>4064499.79</v>
      </c>
    </row>
    <row r="255" spans="1:9" x14ac:dyDescent="0.25">
      <c r="A255" s="95" t="s">
        <v>171</v>
      </c>
      <c r="B255" s="96"/>
      <c r="C255" s="110">
        <v>5050104099</v>
      </c>
      <c r="D255" s="494">
        <f>IFERROR(VLOOKUP(C255,[17]TB!$C$11:$Z$276,24,FALSE),0)</f>
        <v>1488665.54</v>
      </c>
      <c r="E255" s="494">
        <f>IFERROR(VLOOKUP(C255,[17]TB!$C$11:$AA$276,25,FALSE),0)</f>
        <v>0</v>
      </c>
      <c r="G255" s="86">
        <f t="shared" si="3"/>
        <v>1488665.54</v>
      </c>
    </row>
    <row r="256" spans="1:9" x14ac:dyDescent="0.25">
      <c r="A256" s="95" t="s">
        <v>74</v>
      </c>
      <c r="B256" s="96"/>
      <c r="C256" s="110">
        <v>5050107001</v>
      </c>
      <c r="D256" s="494">
        <f>IFERROR(VLOOKUP(C256,[17]TB!$C$11:$Z$276,24,FALSE),0)</f>
        <v>43876.47</v>
      </c>
      <c r="E256" s="494">
        <f>IFERROR(VLOOKUP(C256,[17]TB!$C$11:$AA$276,25,FALSE),0)</f>
        <v>0</v>
      </c>
      <c r="G256" s="86">
        <f t="shared" si="3"/>
        <v>43876.47</v>
      </c>
    </row>
    <row r="257" spans="1:7" x14ac:dyDescent="0.25">
      <c r="A257" s="95" t="s">
        <v>172</v>
      </c>
      <c r="B257" s="96"/>
      <c r="C257" s="110">
        <v>5050107002</v>
      </c>
      <c r="D257" s="494">
        <f>IFERROR(VLOOKUP(C257,[17]TB!$C$11:$Z$276,24,FALSE),0)</f>
        <v>0</v>
      </c>
      <c r="E257" s="494">
        <f>IFERROR(VLOOKUP(C257,[17]TB!$C$11:$AA$276,25,FALSE),0)</f>
        <v>0</v>
      </c>
      <c r="G257" s="86">
        <f t="shared" si="3"/>
        <v>0</v>
      </c>
    </row>
    <row r="258" spans="1:7" x14ac:dyDescent="0.25">
      <c r="A258" s="95" t="s">
        <v>73</v>
      </c>
      <c r="B258" s="96"/>
      <c r="C258" s="110">
        <v>5050105002</v>
      </c>
      <c r="D258" s="494">
        <f>IFERROR(VLOOKUP(C258,[17]TB!$C$11:$Z$276,24,FALSE),0)</f>
        <v>849319.68</v>
      </c>
      <c r="E258" s="494">
        <f>IFERROR(VLOOKUP(C258,[17]TB!$C$11:$AA$276,25,FALSE),0)</f>
        <v>0</v>
      </c>
      <c r="G258" s="86">
        <f t="shared" si="3"/>
        <v>849319.68</v>
      </c>
    </row>
    <row r="259" spans="1:7" x14ac:dyDescent="0.25">
      <c r="A259" s="95" t="s">
        <v>75</v>
      </c>
      <c r="B259" s="96"/>
      <c r="C259" s="110">
        <v>5050105003</v>
      </c>
      <c r="D259" s="494">
        <f>IFERROR(VLOOKUP(C259,[17]TB!$C$11:$Z$276,24,FALSE),0)</f>
        <v>7474808.1299999999</v>
      </c>
      <c r="E259" s="494">
        <f>IFERROR(VLOOKUP(C259,[17]TB!$C$11:$AA$276,25,FALSE),0)</f>
        <v>0</v>
      </c>
      <c r="G259" s="86">
        <f t="shared" si="3"/>
        <v>7474808.1299999999</v>
      </c>
    </row>
    <row r="260" spans="1:7" x14ac:dyDescent="0.25">
      <c r="A260" s="95" t="s">
        <v>76</v>
      </c>
      <c r="B260" s="96"/>
      <c r="C260" s="110">
        <v>5050105007</v>
      </c>
      <c r="D260" s="494">
        <f>IFERROR(VLOOKUP(C260,[17]TB!$C$11:$Z$276,24,FALSE),0)</f>
        <v>1488508.05</v>
      </c>
      <c r="E260" s="494">
        <f>IFERROR(VLOOKUP(C260,[17]TB!$C$11:$AA$276,25,FALSE),0)</f>
        <v>0</v>
      </c>
      <c r="G260" s="86">
        <f t="shared" si="3"/>
        <v>1488508.05</v>
      </c>
    </row>
    <row r="261" spans="1:7" x14ac:dyDescent="0.25">
      <c r="A261" s="95" t="s">
        <v>173</v>
      </c>
      <c r="B261" s="96"/>
      <c r="C261" s="110">
        <v>5050105009</v>
      </c>
      <c r="D261" s="494">
        <f>IFERROR(VLOOKUP(C261,[17]TB!$C$11:$Z$276,24,FALSE),0)</f>
        <v>0</v>
      </c>
      <c r="E261" s="494">
        <f>IFERROR(VLOOKUP(C261,[17]TB!$C$11:$AA$276,25,FALSE),0)</f>
        <v>0</v>
      </c>
      <c r="G261" s="86">
        <f t="shared" si="3"/>
        <v>0</v>
      </c>
    </row>
    <row r="262" spans="1:7" x14ac:dyDescent="0.25">
      <c r="A262" s="95" t="s">
        <v>174</v>
      </c>
      <c r="B262" s="96"/>
      <c r="C262" s="110">
        <v>5050105011</v>
      </c>
      <c r="D262" s="494">
        <f>IFERROR(VLOOKUP(C262,[17]TB!$C$11:$Z$276,24,FALSE),0)</f>
        <v>0</v>
      </c>
      <c r="E262" s="494">
        <f>IFERROR(VLOOKUP(C262,[17]TB!$C$11:$AA$276,25,FALSE),0)</f>
        <v>0</v>
      </c>
      <c r="G262" s="86">
        <f t="shared" si="3"/>
        <v>0</v>
      </c>
    </row>
    <row r="263" spans="1:7" x14ac:dyDescent="0.25">
      <c r="A263" s="95" t="s">
        <v>77</v>
      </c>
      <c r="B263" s="96"/>
      <c r="C263" s="110">
        <v>5050105013</v>
      </c>
      <c r="D263" s="494">
        <f>IFERROR(VLOOKUP(C263,[17]TB!$C$11:$Z$276,24,FALSE),0)</f>
        <v>0</v>
      </c>
      <c r="E263" s="494">
        <f>IFERROR(VLOOKUP(C263,[17]TB!$C$11:$AA$276,25,FALSE),0)</f>
        <v>0</v>
      </c>
      <c r="G263" s="86">
        <f t="shared" si="3"/>
        <v>0</v>
      </c>
    </row>
    <row r="264" spans="1:7" x14ac:dyDescent="0.25">
      <c r="A264" s="95" t="s">
        <v>267</v>
      </c>
      <c r="B264" s="96"/>
      <c r="C264" s="110">
        <v>5050105014</v>
      </c>
      <c r="D264" s="494">
        <f>IFERROR(VLOOKUP(C264,[17]TB!$C$11:$Z$276,24,FALSE),0)</f>
        <v>21813.16</v>
      </c>
      <c r="E264" s="494">
        <f>IFERROR(VLOOKUP(C264,[17]TB!$C$11:$AA$276,25,FALSE),0)</f>
        <v>0</v>
      </c>
      <c r="G264" s="86">
        <f t="shared" si="3"/>
        <v>21813.16</v>
      </c>
    </row>
    <row r="265" spans="1:7" x14ac:dyDescent="0.25">
      <c r="A265" s="95" t="s">
        <v>542</v>
      </c>
      <c r="B265" s="96"/>
      <c r="C265" s="110">
        <v>5050105099</v>
      </c>
      <c r="D265" s="494">
        <f>IFERROR(VLOOKUP(C265,[17]TB!$C$11:$Z$276,24,FALSE),0)</f>
        <v>250698.12</v>
      </c>
      <c r="E265" s="494">
        <f>IFERROR(VLOOKUP(C265,[17]TB!$C$11:$AA$276,25,FALSE),0)</f>
        <v>0</v>
      </c>
      <c r="G265" s="86">
        <f t="shared" si="3"/>
        <v>250698.12</v>
      </c>
    </row>
    <row r="266" spans="1:7" x14ac:dyDescent="0.25">
      <c r="A266" s="95" t="s">
        <v>78</v>
      </c>
      <c r="B266" s="96"/>
      <c r="C266" s="110">
        <v>5050106001</v>
      </c>
      <c r="D266" s="494">
        <f>IFERROR(VLOOKUP(C266,[17]TB!$C$11:$Z$276,24,FALSE),0)</f>
        <v>3270236.15</v>
      </c>
      <c r="E266" s="494">
        <f>IFERROR(VLOOKUP(C266,[17]TB!$C$11:$AA$276,25,FALSE),0)</f>
        <v>0</v>
      </c>
      <c r="G266" s="86">
        <f t="shared" si="3"/>
        <v>3270236.15</v>
      </c>
    </row>
    <row r="267" spans="1:7" x14ac:dyDescent="0.25">
      <c r="A267" s="147" t="s">
        <v>419</v>
      </c>
      <c r="B267" s="148"/>
      <c r="C267" s="149">
        <v>5050108002</v>
      </c>
      <c r="D267" s="494">
        <f>IFERROR(VLOOKUP(C267,[17]TB!$C$11:$Z$276,24,FALSE),0)</f>
        <v>12255</v>
      </c>
      <c r="E267" s="494">
        <f>IFERROR(VLOOKUP(C267,[17]TB!$C$11:$AA$276,25,FALSE),0)</f>
        <v>0</v>
      </c>
      <c r="G267" s="86">
        <f t="shared" si="3"/>
        <v>12255</v>
      </c>
    </row>
    <row r="268" spans="1:7" x14ac:dyDescent="0.25">
      <c r="A268" s="95" t="s">
        <v>79</v>
      </c>
      <c r="B268" s="96"/>
      <c r="C268" s="110">
        <v>5050199099</v>
      </c>
      <c r="D268" s="494">
        <f>IFERROR(VLOOKUP(C268,[17]TB!$C$11:$Z$276,24,FALSE),0)</f>
        <v>0</v>
      </c>
      <c r="E268" s="494">
        <f>IFERROR(VLOOKUP(C268,[17]TB!$C$11:$AA$276,25,FALSE),0)</f>
        <v>0</v>
      </c>
      <c r="G268" s="86">
        <f t="shared" si="3"/>
        <v>0</v>
      </c>
    </row>
    <row r="269" spans="1:7" x14ac:dyDescent="0.25">
      <c r="A269" s="95" t="s">
        <v>80</v>
      </c>
      <c r="B269" s="96"/>
      <c r="C269" s="110">
        <v>5029999099</v>
      </c>
      <c r="D269" s="494">
        <f>IFERROR(VLOOKUP(C269,[17]TB!$C$11:$Z$276,24,FALSE),0)</f>
        <v>7742218.0499999998</v>
      </c>
      <c r="E269" s="494">
        <f>IFERROR(VLOOKUP(C269,[17]TB!$C$11:$AA$276,25,FALSE),0)</f>
        <v>0</v>
      </c>
      <c r="G269" s="86">
        <f t="shared" si="3"/>
        <v>7742218.0499999998</v>
      </c>
    </row>
    <row r="270" spans="1:7" x14ac:dyDescent="0.25">
      <c r="A270" s="95" t="s">
        <v>176</v>
      </c>
      <c r="B270" s="96"/>
      <c r="C270" s="110">
        <v>5050409000</v>
      </c>
      <c r="D270" s="494">
        <f>IFERROR(VLOOKUP(C270,[17]TB!$C$11:$Z$276,24,FALSE),0)</f>
        <v>0</v>
      </c>
      <c r="E270" s="494">
        <f>IFERROR(VLOOKUP(C270,[17]TB!$C$11:$AA$276,25,FALSE),0)</f>
        <v>0</v>
      </c>
      <c r="G270" s="86">
        <f>SUM(D270:E270)</f>
        <v>0</v>
      </c>
    </row>
    <row r="271" spans="1:7" x14ac:dyDescent="0.25">
      <c r="A271" s="489" t="s">
        <v>553</v>
      </c>
      <c r="B271" s="490"/>
      <c r="C271" s="309">
        <v>5050307000</v>
      </c>
      <c r="D271" s="494">
        <f>IFERROR(VLOOKUP(C271,[17]TB!$C$11:$Z$276,24,FALSE),0)</f>
        <v>571033.5</v>
      </c>
      <c r="E271" s="494">
        <f>IFERROR(VLOOKUP(C271,[17]TB!$C$11:$AA$276,25,FALSE),0)</f>
        <v>0</v>
      </c>
      <c r="G271" s="86">
        <f t="shared" ref="G271:G276" si="4">SUM(D271:E271)</f>
        <v>571033.5</v>
      </c>
    </row>
    <row r="272" spans="1:7" x14ac:dyDescent="0.25">
      <c r="A272" s="489" t="s">
        <v>554</v>
      </c>
      <c r="B272" s="490"/>
      <c r="C272" s="309">
        <v>5050309000</v>
      </c>
      <c r="D272" s="494">
        <f>IFERROR(VLOOKUP(C272,[17]TB!$C$11:$Z$276,24,FALSE),0)</f>
        <v>20463.669999999998</v>
      </c>
      <c r="E272" s="494">
        <f>IFERROR(VLOOKUP(C272,[17]TB!$C$11:$AA$276,25,FALSE),0)</f>
        <v>0</v>
      </c>
      <c r="G272" s="86">
        <f t="shared" si="4"/>
        <v>20463.669999999998</v>
      </c>
    </row>
    <row r="273" spans="1:9" x14ac:dyDescent="0.25">
      <c r="A273" s="489" t="s">
        <v>551</v>
      </c>
      <c r="B273" s="490"/>
      <c r="C273" s="309">
        <v>5050404000</v>
      </c>
      <c r="D273" s="494">
        <f>IFERROR(VLOOKUP(C273,[17]TB!$C$11:$Z$276,24,FALSE),0)</f>
        <v>368530.6</v>
      </c>
      <c r="E273" s="494">
        <f>IFERROR(VLOOKUP(C273,[17]TB!$C$11:$AA$276,25,FALSE),0)</f>
        <v>0</v>
      </c>
      <c r="G273" s="86">
        <f t="shared" si="4"/>
        <v>368530.6</v>
      </c>
    </row>
    <row r="274" spans="1:9" x14ac:dyDescent="0.25">
      <c r="A274" s="105" t="s">
        <v>370</v>
      </c>
      <c r="B274" s="102" t="s">
        <v>94</v>
      </c>
      <c r="C274" s="110">
        <v>5060401000</v>
      </c>
      <c r="D274" s="494">
        <f>IFERROR(VLOOKUP(C274,[17]TB!$C$11:$Z$276,24,FALSE),0)</f>
        <v>0</v>
      </c>
      <c r="E274" s="494">
        <f>IFERROR(VLOOKUP(C274,[17]TB!$C$11:$AA$276,25,FALSE),0)</f>
        <v>0</v>
      </c>
      <c r="G274" s="86">
        <f t="shared" si="4"/>
        <v>0</v>
      </c>
    </row>
    <row r="275" spans="1:9" x14ac:dyDescent="0.25">
      <c r="A275" s="105" t="s">
        <v>177</v>
      </c>
      <c r="C275" s="110">
        <v>5050499000</v>
      </c>
      <c r="D275" s="494">
        <f>IFERROR(VLOOKUP(C275,[17]TB!$C$11:$Z$276,24,FALSE),0)</f>
        <v>0</v>
      </c>
      <c r="E275" s="494">
        <f>IFERROR(VLOOKUP(C275,[17]TB!$C$11:$AA$276,25,FALSE),0)</f>
        <v>0</v>
      </c>
      <c r="G275" s="86">
        <f t="shared" si="4"/>
        <v>0</v>
      </c>
    </row>
    <row r="276" spans="1:9" x14ac:dyDescent="0.25">
      <c r="C276" s="110"/>
      <c r="D276" s="494"/>
      <c r="E276" s="494"/>
      <c r="G276" s="86">
        <f t="shared" si="4"/>
        <v>0</v>
      </c>
    </row>
    <row r="277" spans="1:9" ht="16.5" thickBot="1" x14ac:dyDescent="0.3">
      <c r="A277" s="498" t="s">
        <v>94</v>
      </c>
      <c r="D277" s="495">
        <f>SUM(D10:D275)</f>
        <v>10457564078.450001</v>
      </c>
      <c r="E277" s="495">
        <f>SUM(E10:E275)</f>
        <v>10457564078.450001</v>
      </c>
      <c r="G277" s="108">
        <f>SUM(G10:G275)</f>
        <v>20915128156.899998</v>
      </c>
    </row>
    <row r="278" spans="1:9" ht="16.5" thickTop="1" x14ac:dyDescent="0.25">
      <c r="A278" s="95"/>
      <c r="E278" s="496">
        <f>D277-E277</f>
        <v>0</v>
      </c>
      <c r="G278" s="86">
        <f>G277/2</f>
        <v>10457564078.449999</v>
      </c>
    </row>
    <row r="279" spans="1:9" x14ac:dyDescent="0.25">
      <c r="A279" s="95"/>
      <c r="G279" s="86">
        <f>G278-E277</f>
        <v>0</v>
      </c>
    </row>
    <row r="280" spans="1:9" x14ac:dyDescent="0.25">
      <c r="A280" s="122"/>
      <c r="B280" s="109"/>
      <c r="C280" s="107" t="s">
        <v>95</v>
      </c>
      <c r="D280" s="494"/>
      <c r="E280" s="494"/>
    </row>
    <row r="281" spans="1:9" x14ac:dyDescent="0.25">
      <c r="A281" s="112"/>
      <c r="B281" s="110"/>
      <c r="C281" s="111"/>
    </row>
    <row r="282" spans="1:9" s="114" customFormat="1" x14ac:dyDescent="0.25">
      <c r="A282" s="126"/>
      <c r="B282" s="94"/>
      <c r="C282" s="113"/>
      <c r="D282" s="493" t="s">
        <v>389</v>
      </c>
      <c r="E282" s="425"/>
      <c r="G282" s="90"/>
      <c r="I282" s="90"/>
    </row>
    <row r="283" spans="1:9" s="116" customFormat="1" x14ac:dyDescent="0.25">
      <c r="A283" s="127"/>
      <c r="B283" s="110"/>
      <c r="C283" s="111"/>
      <c r="D283" s="497" t="s">
        <v>363</v>
      </c>
      <c r="E283" s="496"/>
      <c r="G283" s="86"/>
      <c r="I283" s="86"/>
    </row>
    <row r="284" spans="1:9" s="116" customFormat="1" x14ac:dyDescent="0.25">
      <c r="A284" s="105"/>
      <c r="B284" s="106"/>
      <c r="C284" s="103"/>
      <c r="D284" s="494"/>
      <c r="E284" s="496"/>
      <c r="G284" s="86"/>
      <c r="I284" s="86"/>
    </row>
    <row r="285" spans="1:9" x14ac:dyDescent="0.25">
      <c r="D285" s="496">
        <f>[17]TB!$Z$277</f>
        <v>10457564078.450001</v>
      </c>
      <c r="E285" s="496">
        <f>[17]TB!$AA$277</f>
        <v>10457564078.450001</v>
      </c>
    </row>
    <row r="286" spans="1:9" x14ac:dyDescent="0.25">
      <c r="D286" s="496">
        <f>D277-D285</f>
        <v>0</v>
      </c>
      <c r="E286" s="496">
        <f>E277-E285</f>
        <v>0</v>
      </c>
    </row>
  </sheetData>
  <autoFilter ref="A10:I275"/>
  <mergeCells count="7">
    <mergeCell ref="A7:A8"/>
    <mergeCell ref="A1:E1"/>
    <mergeCell ref="A2:E2"/>
    <mergeCell ref="A3:E3"/>
    <mergeCell ref="A4:E4"/>
    <mergeCell ref="A5:E5"/>
    <mergeCell ref="A6:E6"/>
  </mergeCells>
  <printOptions horizontalCentered="1"/>
  <pageMargins left="0.45" right="0.45" top="0.75" bottom="0.75" header="0.3" footer="0.3"/>
  <pageSetup paperSize="9" scale="78" fitToHeight="0" orientation="portrait" horizontalDpi="300" verticalDpi="3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rgb="FFFFFF00"/>
    <pageSetUpPr fitToPage="1"/>
  </sheetPr>
  <dimension ref="A1:AF292"/>
  <sheetViews>
    <sheetView view="pageBreakPreview" zoomScaleNormal="100" zoomScaleSheetLayoutView="100" workbookViewId="0">
      <pane xSplit="3" ySplit="9" topLeftCell="D102" activePane="bottomRight" state="frozen"/>
      <selection activeCell="F293" sqref="F293"/>
      <selection pane="topRight" activeCell="F293" sqref="F293"/>
      <selection pane="bottomLeft" activeCell="F293" sqref="F293"/>
      <selection pane="bottomRight" activeCell="E124" sqref="E124"/>
    </sheetView>
  </sheetViews>
  <sheetFormatPr defaultColWidth="9.140625" defaultRowHeight="15.75" x14ac:dyDescent="0.25"/>
  <cols>
    <col min="1" max="1" width="48.7109375" style="286" customWidth="1"/>
    <col min="2" max="2" width="8.7109375" style="106" hidden="1" customWidth="1"/>
    <col min="3" max="3" width="12.42578125" style="294" bestFit="1" customWidth="1"/>
    <col min="4" max="5" width="22.42578125" style="423" customWidth="1"/>
    <col min="6" max="6" width="18.140625" style="85" customWidth="1"/>
    <col min="7" max="7" width="16.5703125" style="85" bestFit="1" customWidth="1"/>
    <col min="8" max="9" width="8.7109375" style="86"/>
    <col min="10" max="13" width="8.7109375" style="85"/>
    <col min="14" max="17" width="8.7109375" style="86"/>
    <col min="18" max="20" width="8.7109375" style="85"/>
    <col min="21" max="25" width="8.7109375" style="86"/>
    <col min="26" max="34" width="8.7109375" style="85"/>
    <col min="35" max="16382" width="9.140625" style="85"/>
    <col min="16383" max="16383" width="8.7109375" style="85"/>
    <col min="16384" max="16384" width="8.7109375" style="85" customWidth="1"/>
  </cols>
  <sheetData>
    <row r="1" spans="1:18" x14ac:dyDescent="0.25">
      <c r="A1" s="542" t="s">
        <v>0</v>
      </c>
      <c r="B1" s="542"/>
      <c r="C1" s="542"/>
      <c r="D1" s="548"/>
      <c r="E1" s="548"/>
    </row>
    <row r="2" spans="1:18" x14ac:dyDescent="0.25">
      <c r="A2" s="542" t="s">
        <v>1</v>
      </c>
      <c r="B2" s="542"/>
      <c r="C2" s="542"/>
      <c r="D2" s="548"/>
      <c r="E2" s="548"/>
    </row>
    <row r="3" spans="1:18" x14ac:dyDescent="0.25">
      <c r="A3" s="543" t="s">
        <v>198</v>
      </c>
      <c r="B3" s="543"/>
      <c r="C3" s="542"/>
      <c r="D3" s="549"/>
      <c r="E3" s="549"/>
    </row>
    <row r="4" spans="1:18" x14ac:dyDescent="0.25">
      <c r="A4" s="544" t="s">
        <v>365</v>
      </c>
      <c r="B4" s="544"/>
      <c r="C4" s="550"/>
      <c r="D4" s="549"/>
      <c r="E4" s="549"/>
    </row>
    <row r="5" spans="1:18" x14ac:dyDescent="0.25">
      <c r="A5" s="545" t="str">
        <f>'tb control'!A5:E5</f>
        <v>As at December 31, 2024</v>
      </c>
      <c r="B5" s="545"/>
      <c r="C5" s="545"/>
      <c r="D5" s="548"/>
      <c r="E5" s="548"/>
    </row>
    <row r="6" spans="1:18" x14ac:dyDescent="0.25">
      <c r="A6" s="545"/>
      <c r="B6" s="545"/>
      <c r="C6" s="545"/>
      <c r="D6" s="548"/>
      <c r="E6" s="548"/>
    </row>
    <row r="7" spans="1:18" x14ac:dyDescent="0.25">
      <c r="A7" s="546" t="s">
        <v>81</v>
      </c>
      <c r="B7" s="87" t="s">
        <v>82</v>
      </c>
      <c r="C7" s="291" t="s">
        <v>178</v>
      </c>
      <c r="D7" s="417"/>
      <c r="E7" s="417"/>
      <c r="I7" s="90"/>
    </row>
    <row r="8" spans="1:18" x14ac:dyDescent="0.25">
      <c r="A8" s="547"/>
      <c r="B8" s="91" t="s">
        <v>83</v>
      </c>
      <c r="C8" s="292" t="s">
        <v>83</v>
      </c>
      <c r="D8" s="418" t="s">
        <v>84</v>
      </c>
      <c r="E8" s="418" t="s">
        <v>85</v>
      </c>
    </row>
    <row r="9" spans="1:18" x14ac:dyDescent="0.25">
      <c r="A9" s="283"/>
      <c r="B9" s="94"/>
      <c r="C9" s="180"/>
      <c r="D9" s="419"/>
      <c r="E9" s="419"/>
    </row>
    <row r="10" spans="1:18" s="86" customFormat="1" x14ac:dyDescent="0.25">
      <c r="A10" s="183" t="s">
        <v>2</v>
      </c>
      <c r="B10" s="110"/>
      <c r="C10" s="180">
        <v>1010101000</v>
      </c>
      <c r="D10" s="416">
        <f>IFERROR(VLOOKUP(C10,'tb control'!$C$10:$D$277,2,FALSE),0)</f>
        <v>11854678.75</v>
      </c>
      <c r="E10" s="420">
        <f>IFERROR(VLOOKUP(C10,'tb control'!$C$10:$E$277,3,FALSE),0)</f>
        <v>0</v>
      </c>
      <c r="F10" s="98">
        <f>D10+E10</f>
        <v>11854678.75</v>
      </c>
      <c r="J10" s="85"/>
      <c r="K10" s="85"/>
      <c r="L10" s="85"/>
      <c r="M10" s="85"/>
      <c r="R10" s="85"/>
    </row>
    <row r="11" spans="1:18" s="86" customFormat="1" x14ac:dyDescent="0.25">
      <c r="A11" s="183" t="s">
        <v>3</v>
      </c>
      <c r="B11" s="110"/>
      <c r="C11" s="180">
        <v>1010102000</v>
      </c>
      <c r="D11" s="416">
        <f>IFERROR(VLOOKUP(C11,'tb control'!$C$10:$D$277,2,FALSE),0)</f>
        <v>735000</v>
      </c>
      <c r="E11" s="420">
        <f>IFERROR(VLOOKUP(C11,'tb control'!$C$10:$E$277,3,FALSE),0)</f>
        <v>0</v>
      </c>
      <c r="F11" s="98">
        <f t="shared" ref="F11:F74" si="0">D11+E11</f>
        <v>735000</v>
      </c>
      <c r="J11" s="85"/>
      <c r="K11" s="85"/>
      <c r="L11" s="85"/>
      <c r="M11" s="85"/>
      <c r="R11" s="85"/>
    </row>
    <row r="12" spans="1:18" s="86" customFormat="1" hidden="1" x14ac:dyDescent="0.25">
      <c r="A12" s="183" t="s">
        <v>98</v>
      </c>
      <c r="B12" s="110"/>
      <c r="C12" s="180">
        <v>1010202016</v>
      </c>
      <c r="D12" s="416">
        <f>IFERROR(VLOOKUP(C12,'tb control'!$C$10:$D$277,2,FALSE),0)</f>
        <v>0</v>
      </c>
      <c r="E12" s="420">
        <f>IFERROR(VLOOKUP(C12,'tb control'!$C$10:$E$277,3,FALSE),0)</f>
        <v>0</v>
      </c>
      <c r="F12" s="98">
        <f t="shared" si="0"/>
        <v>0</v>
      </c>
      <c r="J12" s="85"/>
      <c r="K12" s="85"/>
      <c r="L12" s="85"/>
      <c r="M12" s="85"/>
      <c r="R12" s="85"/>
    </row>
    <row r="13" spans="1:18" s="86" customFormat="1" ht="31.5" x14ac:dyDescent="0.25">
      <c r="A13" s="183" t="s">
        <v>507</v>
      </c>
      <c r="B13" s="110"/>
      <c r="C13" s="180">
        <v>1010202024</v>
      </c>
      <c r="D13" s="416">
        <f>IFERROR(VLOOKUP(C13,'tb control'!$C$10:$D$277,2,FALSE),0)</f>
        <v>220000</v>
      </c>
      <c r="E13" s="420">
        <f>IFERROR(VLOOKUP(C13,'tb control'!$C$10:$E$277,3,FALSE),0)</f>
        <v>0</v>
      </c>
      <c r="F13" s="98">
        <f t="shared" si="0"/>
        <v>220000</v>
      </c>
      <c r="J13" s="85"/>
      <c r="K13" s="85"/>
      <c r="L13" s="85"/>
      <c r="M13" s="85"/>
      <c r="R13" s="85"/>
    </row>
    <row r="14" spans="1:18" s="86" customFormat="1" ht="16.5" hidden="1" customHeight="1" x14ac:dyDescent="0.25">
      <c r="A14" s="183" t="s">
        <v>100</v>
      </c>
      <c r="B14" s="110"/>
      <c r="C14" s="180">
        <v>1010202030</v>
      </c>
      <c r="D14" s="416">
        <f>IFERROR(VLOOKUP(C14,'tb control'!$C$10:$D$277,2,FALSE),0)</f>
        <v>0</v>
      </c>
      <c r="E14" s="420">
        <f>IFERROR(VLOOKUP(C14,'tb control'!$C$10:$E$277,3,FALSE),0)</f>
        <v>0</v>
      </c>
      <c r="F14" s="98">
        <f t="shared" si="0"/>
        <v>0</v>
      </c>
      <c r="J14" s="85"/>
      <c r="K14" s="85"/>
      <c r="L14" s="85"/>
      <c r="M14" s="85"/>
      <c r="R14" s="85"/>
    </row>
    <row r="15" spans="1:18" s="86" customFormat="1" x14ac:dyDescent="0.25">
      <c r="A15" s="183" t="s">
        <v>179</v>
      </c>
      <c r="B15" s="110"/>
      <c r="C15" s="180">
        <v>1010401000</v>
      </c>
      <c r="D15" s="416">
        <f>IFERROR(VLOOKUP(C15,'tb control'!$C$10:$D$277,2,FALSE),0)</f>
        <v>172292235.08000001</v>
      </c>
      <c r="E15" s="420">
        <f>IFERROR(VLOOKUP(C15,'tb control'!$C$10:$E$277,3,FALSE),0)</f>
        <v>0</v>
      </c>
      <c r="F15" s="98">
        <f t="shared" si="0"/>
        <v>172292235.08000001</v>
      </c>
      <c r="J15" s="85"/>
      <c r="K15" s="85"/>
      <c r="L15" s="85"/>
      <c r="M15" s="85"/>
      <c r="R15" s="85"/>
    </row>
    <row r="16" spans="1:18" s="86" customFormat="1" x14ac:dyDescent="0.25">
      <c r="A16" s="183" t="s">
        <v>180</v>
      </c>
      <c r="B16" s="94"/>
      <c r="C16" s="180">
        <v>1010403000</v>
      </c>
      <c r="D16" s="416">
        <f>IFERROR(VLOOKUP(C16,'tb control'!$C$10:$D$277,2,FALSE),0)</f>
        <v>11092962.93</v>
      </c>
      <c r="E16" s="420">
        <f>IFERROR(VLOOKUP(C16,'tb control'!$C$10:$E$277,3,FALSE),0)</f>
        <v>0</v>
      </c>
      <c r="F16" s="98">
        <f t="shared" si="0"/>
        <v>11092962.93</v>
      </c>
      <c r="J16" s="85"/>
      <c r="K16" s="85"/>
      <c r="L16" s="85"/>
      <c r="M16" s="85"/>
      <c r="R16" s="85"/>
    </row>
    <row r="17" spans="1:18" s="86" customFormat="1" ht="31.5" hidden="1" x14ac:dyDescent="0.25">
      <c r="A17" s="183" t="s">
        <v>97</v>
      </c>
      <c r="B17" s="110"/>
      <c r="C17" s="180">
        <v>1010404000</v>
      </c>
      <c r="D17" s="416">
        <f>IFERROR(VLOOKUP(C17,'tb control'!$C$10:$D$277,2,FALSE),0)</f>
        <v>0</v>
      </c>
      <c r="E17" s="420">
        <f>IFERROR(VLOOKUP(C17,'tb control'!$C$10:$E$277,3,FALSE),0)</f>
        <v>0</v>
      </c>
      <c r="F17" s="98">
        <f t="shared" si="0"/>
        <v>0</v>
      </c>
      <c r="J17" s="85"/>
      <c r="K17" s="85"/>
      <c r="L17" s="85"/>
      <c r="M17" s="85"/>
      <c r="R17" s="85"/>
    </row>
    <row r="18" spans="1:18" s="86" customFormat="1" ht="16.5" hidden="1" customHeight="1" x14ac:dyDescent="0.25">
      <c r="A18" s="183" t="s">
        <v>181</v>
      </c>
      <c r="B18" s="110"/>
      <c r="C18" s="180">
        <v>1010406000</v>
      </c>
      <c r="D18" s="416">
        <f>IFERROR(VLOOKUP(C18,'tb control'!$C$10:$D$277,2,FALSE),0)</f>
        <v>0</v>
      </c>
      <c r="E18" s="420">
        <f>IFERROR(VLOOKUP(C18,'tb control'!$C$10:$E$277,3,FALSE),0)</f>
        <v>0</v>
      </c>
      <c r="F18" s="98">
        <f t="shared" si="0"/>
        <v>0</v>
      </c>
      <c r="J18" s="85"/>
      <c r="K18" s="85"/>
      <c r="L18" s="85"/>
      <c r="M18" s="85"/>
      <c r="R18" s="85"/>
    </row>
    <row r="19" spans="1:18" s="86" customFormat="1" ht="16.5" hidden="1" customHeight="1" x14ac:dyDescent="0.25">
      <c r="A19" s="183" t="s">
        <v>342</v>
      </c>
      <c r="B19" s="110"/>
      <c r="C19" s="180">
        <v>1010407000</v>
      </c>
      <c r="D19" s="416">
        <f>IFERROR(VLOOKUP(C19,'tb control'!$C$10:$D$277,2,FALSE),0)</f>
        <v>0</v>
      </c>
      <c r="E19" s="420">
        <f>IFERROR(VLOOKUP(C19,'tb control'!$C$10:$E$277,3,FALSE),0)</f>
        <v>0</v>
      </c>
      <c r="F19" s="98">
        <f t="shared" si="0"/>
        <v>0</v>
      </c>
      <c r="J19" s="85"/>
      <c r="K19" s="85"/>
      <c r="L19" s="85"/>
      <c r="M19" s="85"/>
      <c r="R19" s="85"/>
    </row>
    <row r="20" spans="1:18" s="86" customFormat="1" ht="16.5" customHeight="1" x14ac:dyDescent="0.25">
      <c r="A20" s="183" t="s">
        <v>415</v>
      </c>
      <c r="B20" s="110"/>
      <c r="C20" s="180">
        <v>1010408000</v>
      </c>
      <c r="D20" s="416">
        <f>IFERROR(VLOOKUP(C20,'tb control'!$C$10:$D$277,2,FALSE),0)</f>
        <v>466563.92</v>
      </c>
      <c r="E20" s="420">
        <f>IFERROR(VLOOKUP(C20,'tb control'!$C$10:$E$277,3,FALSE),0)</f>
        <v>0</v>
      </c>
      <c r="F20" s="98">
        <f t="shared" si="0"/>
        <v>466563.92</v>
      </c>
      <c r="J20" s="85"/>
      <c r="K20" s="85"/>
      <c r="L20" s="85"/>
      <c r="M20" s="85"/>
      <c r="R20" s="85"/>
    </row>
    <row r="21" spans="1:18" s="86" customFormat="1" ht="16.5" customHeight="1" x14ac:dyDescent="0.25">
      <c r="A21" s="183" t="s">
        <v>390</v>
      </c>
      <c r="B21" s="110"/>
      <c r="C21" s="180">
        <v>1010409000</v>
      </c>
      <c r="D21" s="416">
        <f>IFERROR(VLOOKUP(C21,'tb control'!$C$10:$D$277,2,FALSE),0)</f>
        <v>0</v>
      </c>
      <c r="E21" s="420">
        <f>IFERROR(VLOOKUP(C21,'tb control'!$C$10:$E$277,3,FALSE),0)</f>
        <v>1534539.18</v>
      </c>
      <c r="F21" s="98">
        <f t="shared" si="0"/>
        <v>1534539.18</v>
      </c>
      <c r="J21" s="85"/>
      <c r="K21" s="85"/>
      <c r="L21" s="85"/>
      <c r="M21" s="85"/>
      <c r="R21" s="85"/>
    </row>
    <row r="22" spans="1:18" s="86" customFormat="1" ht="16.5" hidden="1" customHeight="1" x14ac:dyDescent="0.25">
      <c r="A22" s="183" t="s">
        <v>20</v>
      </c>
      <c r="B22" s="110"/>
      <c r="C22" s="180">
        <v>1020399000</v>
      </c>
      <c r="D22" s="416">
        <f>IFERROR(VLOOKUP(C22,'tb control'!$C$10:$D$277,2,FALSE),0)</f>
        <v>0</v>
      </c>
      <c r="E22" s="420">
        <f>IFERROR(VLOOKUP(C22,'tb control'!$C$10:$E$277,3,FALSE),0)</f>
        <v>0</v>
      </c>
      <c r="F22" s="98">
        <f t="shared" si="0"/>
        <v>0</v>
      </c>
      <c r="J22" s="85"/>
      <c r="K22" s="85"/>
      <c r="L22" s="85"/>
      <c r="M22" s="85"/>
      <c r="R22" s="85"/>
    </row>
    <row r="23" spans="1:18" s="86" customFormat="1" hidden="1" x14ac:dyDescent="0.25">
      <c r="A23" s="183" t="s">
        <v>4</v>
      </c>
      <c r="B23" s="110"/>
      <c r="C23" s="180">
        <v>1030101000</v>
      </c>
      <c r="D23" s="416">
        <f>IFERROR(VLOOKUP(C23,'tb control'!$C$10:$D$277,2,FALSE),0)</f>
        <v>0</v>
      </c>
      <c r="E23" s="420">
        <f>IFERROR(VLOOKUP(C23,'tb control'!$C$10:$E$277,3,FALSE),0)</f>
        <v>0</v>
      </c>
      <c r="F23" s="98">
        <f t="shared" si="0"/>
        <v>0</v>
      </c>
      <c r="J23" s="85"/>
      <c r="K23" s="85"/>
      <c r="L23" s="85"/>
      <c r="M23" s="85"/>
      <c r="R23" s="85"/>
    </row>
    <row r="24" spans="1:18" s="86" customFormat="1" ht="16.5" hidden="1" customHeight="1" x14ac:dyDescent="0.25">
      <c r="A24" s="183" t="s">
        <v>6</v>
      </c>
      <c r="B24" s="110"/>
      <c r="C24" s="180">
        <v>1030199000</v>
      </c>
      <c r="D24" s="416">
        <f>IFERROR(VLOOKUP(C24,'tb control'!$C$10:$D$277,2,FALSE),0)</f>
        <v>0</v>
      </c>
      <c r="E24" s="420">
        <f>IFERROR(VLOOKUP(C24,'tb control'!$C$10:$E$277,3,FALSE),0)</f>
        <v>0</v>
      </c>
      <c r="F24" s="98">
        <f t="shared" si="0"/>
        <v>0</v>
      </c>
      <c r="J24" s="85"/>
      <c r="K24" s="85"/>
      <c r="L24" s="85"/>
      <c r="M24" s="85"/>
      <c r="R24" s="85"/>
    </row>
    <row r="25" spans="1:18" s="86" customFormat="1" hidden="1" x14ac:dyDescent="0.25">
      <c r="A25" s="183" t="s">
        <v>242</v>
      </c>
      <c r="B25" s="110"/>
      <c r="C25" s="180">
        <v>1030301000</v>
      </c>
      <c r="D25" s="416">
        <f>IFERROR(VLOOKUP(C25,'tb control'!$C$10:$D$277,2,FALSE),0)</f>
        <v>0</v>
      </c>
      <c r="E25" s="420">
        <f>IFERROR(VLOOKUP(C25,'tb control'!$C$10:$E$277,3,FALSE),0)</f>
        <v>0</v>
      </c>
      <c r="F25" s="98">
        <f t="shared" si="0"/>
        <v>0</v>
      </c>
      <c r="J25" s="85"/>
      <c r="K25" s="85"/>
      <c r="L25" s="85"/>
      <c r="M25" s="85"/>
      <c r="R25" s="85"/>
    </row>
    <row r="26" spans="1:18" s="86" customFormat="1" ht="16.5" hidden="1" customHeight="1" x14ac:dyDescent="0.25">
      <c r="A26" s="183" t="s">
        <v>8</v>
      </c>
      <c r="B26" s="110"/>
      <c r="C26" s="180">
        <v>1030302000</v>
      </c>
      <c r="D26" s="416">
        <f>IFERROR(VLOOKUP(C26,'tb control'!$C$10:$D$277,2,FALSE),0)</f>
        <v>0</v>
      </c>
      <c r="E26" s="420">
        <f>IFERROR(VLOOKUP(C26,'tb control'!$C$10:$E$277,3,FALSE),0)</f>
        <v>0</v>
      </c>
      <c r="F26" s="98">
        <f t="shared" si="0"/>
        <v>0</v>
      </c>
      <c r="J26" s="85"/>
      <c r="K26" s="85"/>
      <c r="L26" s="85"/>
      <c r="M26" s="85"/>
      <c r="R26" s="85"/>
    </row>
    <row r="27" spans="1:18" s="86" customFormat="1" x14ac:dyDescent="0.25">
      <c r="A27" s="183" t="s">
        <v>241</v>
      </c>
      <c r="B27" s="110"/>
      <c r="C27" s="180">
        <v>1030303000</v>
      </c>
      <c r="D27" s="416">
        <f>IFERROR(VLOOKUP(C27,'tb control'!$C$10:$D$277,2,FALSE),0)</f>
        <v>392342147.19999999</v>
      </c>
      <c r="E27" s="420">
        <f>IFERROR(VLOOKUP(C27,'tb control'!$C$10:$E$277,3,FALSE),0)</f>
        <v>0</v>
      </c>
      <c r="F27" s="98">
        <f t="shared" si="0"/>
        <v>392342147.19999999</v>
      </c>
      <c r="J27" s="85"/>
      <c r="K27" s="85"/>
      <c r="L27" s="85"/>
      <c r="M27" s="85"/>
      <c r="R27" s="85"/>
    </row>
    <row r="28" spans="1:18" s="86" customFormat="1" ht="16.5" hidden="1" customHeight="1" x14ac:dyDescent="0.25">
      <c r="A28" s="183" t="s">
        <v>11</v>
      </c>
      <c r="B28" s="110"/>
      <c r="C28" s="180">
        <v>1030405000</v>
      </c>
      <c r="D28" s="416">
        <f>IFERROR(VLOOKUP(C28,'tb control'!$C$10:$D$277,2,FALSE),0)</f>
        <v>0</v>
      </c>
      <c r="E28" s="420">
        <f>IFERROR(VLOOKUP(C28,'tb control'!$C$10:$E$277,3,FALSE),0)</f>
        <v>0</v>
      </c>
      <c r="F28" s="98">
        <f t="shared" si="0"/>
        <v>0</v>
      </c>
      <c r="J28" s="85"/>
      <c r="K28" s="85"/>
      <c r="L28" s="85"/>
      <c r="M28" s="85"/>
      <c r="R28" s="85"/>
    </row>
    <row r="29" spans="1:18" s="86" customFormat="1" hidden="1" x14ac:dyDescent="0.25">
      <c r="A29" s="183" t="s">
        <v>385</v>
      </c>
      <c r="B29" s="110"/>
      <c r="C29" s="180">
        <v>1030501000</v>
      </c>
      <c r="D29" s="416">
        <f>IFERROR(VLOOKUP(C29,'tb control'!$C$10:$D$277,2,FALSE),0)</f>
        <v>0</v>
      </c>
      <c r="E29" s="420">
        <f>IFERROR(VLOOKUP(C29,'tb control'!$C$10:$E$277,3,FALSE),0)</f>
        <v>0</v>
      </c>
      <c r="F29" s="98">
        <f t="shared" si="0"/>
        <v>0</v>
      </c>
      <c r="J29" s="85"/>
      <c r="K29" s="85"/>
      <c r="L29" s="85"/>
      <c r="M29" s="85"/>
      <c r="R29" s="85"/>
    </row>
    <row r="30" spans="1:18" s="86" customFormat="1" x14ac:dyDescent="0.25">
      <c r="A30" s="183" t="s">
        <v>5</v>
      </c>
      <c r="B30" s="110"/>
      <c r="C30" s="180">
        <v>1039902000</v>
      </c>
      <c r="D30" s="416">
        <f>IFERROR(VLOOKUP(C30,'tb control'!$C$10:$D$277,2,FALSE),0)</f>
        <v>1500</v>
      </c>
      <c r="E30" s="420">
        <f>IFERROR(VLOOKUP(C30,'tb control'!$C$10:$E$277,3,FALSE),0)</f>
        <v>0</v>
      </c>
      <c r="F30" s="98">
        <f t="shared" si="0"/>
        <v>1500</v>
      </c>
      <c r="J30" s="85"/>
      <c r="K30" s="85"/>
      <c r="L30" s="85"/>
      <c r="M30" s="85"/>
      <c r="R30" s="85"/>
    </row>
    <row r="31" spans="1:18" s="86" customFormat="1" ht="31.5" x14ac:dyDescent="0.25">
      <c r="A31" s="183" t="s">
        <v>487</v>
      </c>
      <c r="B31" s="94"/>
      <c r="C31" s="180">
        <v>1039903000</v>
      </c>
      <c r="D31" s="416">
        <f>IFERROR(VLOOKUP(C31,'tb control'!$C$10:$D$277,2,FALSE),0)</f>
        <v>28436934.66</v>
      </c>
      <c r="E31" s="420">
        <f>IFERROR(VLOOKUP(C31,'tb control'!$C$10:$E$277,3,FALSE),0)</f>
        <v>0</v>
      </c>
      <c r="F31" s="98">
        <f t="shared" si="0"/>
        <v>28436934.66</v>
      </c>
      <c r="J31" s="85"/>
      <c r="K31" s="85"/>
      <c r="L31" s="85"/>
      <c r="M31" s="85"/>
      <c r="R31" s="85"/>
    </row>
    <row r="32" spans="1:18" s="86" customFormat="1" hidden="1" x14ac:dyDescent="0.25">
      <c r="A32" s="183" t="s">
        <v>13</v>
      </c>
      <c r="B32" s="94"/>
      <c r="C32" s="180">
        <v>1039999000</v>
      </c>
      <c r="D32" s="416">
        <f>IFERROR(VLOOKUP(C32,'tb control'!$C$10:$D$277,2,FALSE),0)</f>
        <v>0</v>
      </c>
      <c r="E32" s="420">
        <f>IFERROR(VLOOKUP(C32,'tb control'!$C$10:$E$277,3,FALSE),0)</f>
        <v>0</v>
      </c>
      <c r="F32" s="98">
        <f t="shared" si="0"/>
        <v>0</v>
      </c>
      <c r="J32" s="85"/>
      <c r="K32" s="85"/>
      <c r="L32" s="85"/>
      <c r="M32" s="85"/>
      <c r="R32" s="85"/>
    </row>
    <row r="33" spans="1:18" s="86" customFormat="1" x14ac:dyDescent="0.25">
      <c r="A33" s="183" t="s">
        <v>240</v>
      </c>
      <c r="B33" s="110"/>
      <c r="C33" s="180">
        <v>1040202000</v>
      </c>
      <c r="D33" s="416">
        <f>IFERROR(VLOOKUP(C33,'tb control'!$C$10:$D$277,2,FALSE),0)</f>
        <v>90552093.180000007</v>
      </c>
      <c r="E33" s="420">
        <f>IFERROR(VLOOKUP(C33,'tb control'!$C$10:$E$277,3,FALSE),0)</f>
        <v>0</v>
      </c>
      <c r="F33" s="98">
        <f t="shared" si="0"/>
        <v>90552093.180000007</v>
      </c>
      <c r="J33" s="85"/>
      <c r="K33" s="85"/>
      <c r="L33" s="85"/>
      <c r="M33" s="85"/>
      <c r="R33" s="85"/>
    </row>
    <row r="34" spans="1:18" s="86" customFormat="1" ht="31.5" x14ac:dyDescent="0.25">
      <c r="A34" s="183" t="s">
        <v>239</v>
      </c>
      <c r="B34" s="110"/>
      <c r="C34" s="180">
        <v>1040204000</v>
      </c>
      <c r="D34" s="416">
        <f>IFERROR(VLOOKUP(C34,'tb control'!$C$10:$D$277,2,FALSE),0)</f>
        <v>79220</v>
      </c>
      <c r="E34" s="420">
        <f>IFERROR(VLOOKUP(C34,'tb control'!$C$10:$E$277,3,FALSE),0)</f>
        <v>0</v>
      </c>
      <c r="F34" s="98">
        <f t="shared" si="0"/>
        <v>79220</v>
      </c>
      <c r="J34" s="85"/>
      <c r="K34" s="85"/>
      <c r="L34" s="85"/>
      <c r="M34" s="85"/>
      <c r="R34" s="85"/>
    </row>
    <row r="35" spans="1:18" s="86" customFormat="1" x14ac:dyDescent="0.25">
      <c r="A35" s="183" t="s">
        <v>238</v>
      </c>
      <c r="B35" s="110"/>
      <c r="C35" s="180">
        <v>1040299000</v>
      </c>
      <c r="D35" s="416">
        <f>IFERROR(VLOOKUP(C35,'tb control'!$C$10:$D$277,2,FALSE),0)</f>
        <v>106254872.28</v>
      </c>
      <c r="E35" s="420">
        <f>IFERROR(VLOOKUP(C35,'tb control'!$C$10:$E$277,3,FALSE),0)</f>
        <v>0</v>
      </c>
      <c r="F35" s="98">
        <f t="shared" si="0"/>
        <v>106254872.28</v>
      </c>
      <c r="J35" s="85"/>
      <c r="K35" s="85"/>
      <c r="L35" s="85"/>
      <c r="M35" s="85"/>
      <c r="R35" s="85"/>
    </row>
    <row r="36" spans="1:18" s="86" customFormat="1" x14ac:dyDescent="0.25">
      <c r="A36" s="183" t="s">
        <v>14</v>
      </c>
      <c r="B36" s="110"/>
      <c r="C36" s="180">
        <v>1040401000</v>
      </c>
      <c r="D36" s="416">
        <f>IFERROR(VLOOKUP(C36,'tb control'!$C$10:$D$277,2,FALSE),0)</f>
        <v>3103412.7</v>
      </c>
      <c r="E36" s="420">
        <f>IFERROR(VLOOKUP(C36,'tb control'!$C$10:$E$277,3,FALSE),0)</f>
        <v>0</v>
      </c>
      <c r="F36" s="98">
        <f t="shared" si="0"/>
        <v>3103412.7</v>
      </c>
      <c r="J36" s="85"/>
      <c r="K36" s="85"/>
      <c r="L36" s="85"/>
      <c r="M36" s="85"/>
      <c r="R36" s="85"/>
    </row>
    <row r="37" spans="1:18" s="86" customFormat="1" x14ac:dyDescent="0.25">
      <c r="A37" s="183" t="s">
        <v>15</v>
      </c>
      <c r="B37" s="110"/>
      <c r="C37" s="180">
        <v>1040405000</v>
      </c>
      <c r="D37" s="416">
        <f>IFERROR(VLOOKUP(C37,'tb control'!$C$10:$D$277,2,FALSE),0)</f>
        <v>10310298.550000001</v>
      </c>
      <c r="E37" s="420">
        <f>IFERROR(VLOOKUP(C37,'tb control'!$C$10:$E$277,3,FALSE),0)</f>
        <v>0</v>
      </c>
      <c r="F37" s="98">
        <f t="shared" si="0"/>
        <v>10310298.550000001</v>
      </c>
      <c r="J37" s="85"/>
      <c r="K37" s="85"/>
      <c r="L37" s="85"/>
      <c r="M37" s="85"/>
      <c r="R37" s="85"/>
    </row>
    <row r="38" spans="1:18" s="86" customFormat="1" x14ac:dyDescent="0.25">
      <c r="A38" s="183" t="s">
        <v>16</v>
      </c>
      <c r="B38" s="110"/>
      <c r="C38" s="180">
        <v>1040406000</v>
      </c>
      <c r="D38" s="416">
        <f>IFERROR(VLOOKUP(C38,'tb control'!$C$10:$D$277,2,FALSE),0)</f>
        <v>365376.47</v>
      </c>
      <c r="E38" s="420">
        <f>IFERROR(VLOOKUP(C38,'tb control'!$C$10:$E$277,3,FALSE),0)</f>
        <v>0</v>
      </c>
      <c r="F38" s="98">
        <f t="shared" si="0"/>
        <v>365376.47</v>
      </c>
      <c r="J38" s="85"/>
      <c r="K38" s="85"/>
      <c r="L38" s="85"/>
      <c r="M38" s="85"/>
      <c r="R38" s="85"/>
    </row>
    <row r="39" spans="1:18" s="86" customFormat="1" x14ac:dyDescent="0.25">
      <c r="A39" s="183" t="s">
        <v>377</v>
      </c>
      <c r="B39" s="110"/>
      <c r="C39" s="180">
        <v>1040407000</v>
      </c>
      <c r="D39" s="416">
        <f>IFERROR(VLOOKUP(C39,'tb control'!$C$10:$D$277,2,FALSE),0)</f>
        <v>688133.12</v>
      </c>
      <c r="E39" s="420">
        <f>IFERROR(VLOOKUP(C39,'tb control'!$C$10:$E$277,3,FALSE),0)</f>
        <v>0</v>
      </c>
      <c r="F39" s="98">
        <f t="shared" si="0"/>
        <v>688133.12</v>
      </c>
      <c r="J39" s="85"/>
      <c r="K39" s="85"/>
      <c r="L39" s="85"/>
      <c r="M39" s="85"/>
      <c r="R39" s="85"/>
    </row>
    <row r="40" spans="1:18" s="86" customFormat="1" x14ac:dyDescent="0.25">
      <c r="A40" s="183" t="s">
        <v>237</v>
      </c>
      <c r="B40" s="110"/>
      <c r="C40" s="180">
        <v>1040408000</v>
      </c>
      <c r="D40" s="416">
        <f>IFERROR(VLOOKUP(C40,'tb control'!$C$10:$D$277,2,FALSE),0)</f>
        <v>75000</v>
      </c>
      <c r="E40" s="420">
        <f>IFERROR(VLOOKUP(C40,'tb control'!$C$10:$E$277,3,FALSE),0)</f>
        <v>0</v>
      </c>
      <c r="F40" s="98">
        <f t="shared" si="0"/>
        <v>75000</v>
      </c>
      <c r="J40" s="85"/>
      <c r="K40" s="85"/>
      <c r="L40" s="85"/>
      <c r="M40" s="85"/>
      <c r="R40" s="85"/>
    </row>
    <row r="41" spans="1:18" s="86" customFormat="1" hidden="1" x14ac:dyDescent="0.25">
      <c r="A41" s="183" t="s">
        <v>18</v>
      </c>
      <c r="B41" s="110"/>
      <c r="C41" s="180">
        <v>1040413000</v>
      </c>
      <c r="D41" s="416">
        <f>IFERROR(VLOOKUP(C41,'tb control'!$C$10:$D$277,2,FALSE),0)</f>
        <v>0</v>
      </c>
      <c r="E41" s="420">
        <f>IFERROR(VLOOKUP(C41,'tb control'!$C$10:$E$277,3,FALSE),0)</f>
        <v>0</v>
      </c>
      <c r="F41" s="98">
        <f t="shared" si="0"/>
        <v>0</v>
      </c>
      <c r="J41" s="85"/>
      <c r="K41" s="85"/>
      <c r="L41" s="85"/>
      <c r="M41" s="85"/>
      <c r="R41" s="85"/>
    </row>
    <row r="42" spans="1:18" s="86" customFormat="1" ht="16.5" customHeight="1" x14ac:dyDescent="0.25">
      <c r="A42" s="183" t="s">
        <v>538</v>
      </c>
      <c r="B42" s="110"/>
      <c r="C42" s="180">
        <v>1040499000</v>
      </c>
      <c r="D42" s="416">
        <f>IFERROR(VLOOKUP(C42,'tb control'!$C$10:$D$277,2,FALSE),0)</f>
        <v>3027097.69</v>
      </c>
      <c r="E42" s="420">
        <f>IFERROR(VLOOKUP(C42,'tb control'!$C$10:$E$277,3,FALSE),0)</f>
        <v>0</v>
      </c>
      <c r="F42" s="98">
        <f t="shared" si="0"/>
        <v>3027097.69</v>
      </c>
      <c r="J42" s="85"/>
      <c r="K42" s="85"/>
      <c r="L42" s="85"/>
      <c r="M42" s="85"/>
      <c r="R42" s="85"/>
    </row>
    <row r="43" spans="1:18" s="86" customFormat="1" hidden="1" x14ac:dyDescent="0.25">
      <c r="A43" s="183" t="s">
        <v>344</v>
      </c>
      <c r="B43" s="110"/>
      <c r="C43" s="180">
        <v>1040501000</v>
      </c>
      <c r="D43" s="416">
        <f>IFERROR(VLOOKUP(C43,'tb control'!$C$10:$D$277,2,FALSE),0)</f>
        <v>0</v>
      </c>
      <c r="E43" s="420">
        <f>IFERROR(VLOOKUP(C43,'tb control'!$C$10:$E$277,3,FALSE),0)</f>
        <v>0</v>
      </c>
      <c r="F43" s="98">
        <f t="shared" si="0"/>
        <v>0</v>
      </c>
      <c r="J43" s="85"/>
      <c r="K43" s="85"/>
      <c r="L43" s="85"/>
      <c r="M43" s="85"/>
      <c r="R43" s="85"/>
    </row>
    <row r="44" spans="1:18" s="86" customFormat="1" x14ac:dyDescent="0.25">
      <c r="A44" s="183" t="s">
        <v>345</v>
      </c>
      <c r="B44" s="110"/>
      <c r="C44" s="180">
        <v>1040502000</v>
      </c>
      <c r="D44" s="416">
        <f>IFERROR(VLOOKUP(C44,'tb control'!$C$10:$D$277,2,FALSE),0)</f>
        <v>135898</v>
      </c>
      <c r="E44" s="420">
        <f>IFERROR(VLOOKUP(C44,'tb control'!$C$10:$E$277,3,FALSE),0)</f>
        <v>0</v>
      </c>
      <c r="F44" s="98">
        <f t="shared" si="0"/>
        <v>135898</v>
      </c>
      <c r="J44" s="85"/>
      <c r="K44" s="85"/>
      <c r="L44" s="85"/>
      <c r="M44" s="85"/>
      <c r="R44" s="85"/>
    </row>
    <row r="45" spans="1:18" s="86" customFormat="1" ht="32.25" customHeight="1" x14ac:dyDescent="0.25">
      <c r="A45" s="183" t="s">
        <v>346</v>
      </c>
      <c r="B45" s="110"/>
      <c r="C45" s="180">
        <v>1040503000</v>
      </c>
      <c r="D45" s="416">
        <f>IFERROR(VLOOKUP(C45,'tb control'!$C$10:$D$277,2,FALSE),0)</f>
        <v>3545933.87</v>
      </c>
      <c r="E45" s="420">
        <f>IFERROR(VLOOKUP(C45,'tb control'!$C$10:$E$277,3,FALSE),0)</f>
        <v>0</v>
      </c>
      <c r="F45" s="98">
        <f t="shared" si="0"/>
        <v>3545933.87</v>
      </c>
      <c r="J45" s="85"/>
      <c r="L45" s="85"/>
      <c r="M45" s="85"/>
      <c r="R45" s="85"/>
    </row>
    <row r="46" spans="1:18" s="86" customFormat="1" x14ac:dyDescent="0.25">
      <c r="A46" s="183" t="s">
        <v>367</v>
      </c>
      <c r="B46" s="110"/>
      <c r="C46" s="180">
        <v>1040507000</v>
      </c>
      <c r="D46" s="416">
        <f>IFERROR(VLOOKUP(C46,'tb control'!$C$10:$D$277,2,FALSE),0)</f>
        <v>8490</v>
      </c>
      <c r="E46" s="420">
        <f>IFERROR(VLOOKUP(C46,'tb control'!$C$10:$E$277,3,FALSE),0)</f>
        <v>0</v>
      </c>
      <c r="F46" s="98">
        <f t="shared" si="0"/>
        <v>8490</v>
      </c>
      <c r="J46" s="85"/>
      <c r="L46" s="85"/>
      <c r="M46" s="85"/>
      <c r="R46" s="85"/>
    </row>
    <row r="47" spans="1:18" s="86" customFormat="1" ht="16.5" customHeight="1" x14ac:dyDescent="0.25">
      <c r="A47" s="183" t="s">
        <v>347</v>
      </c>
      <c r="B47" s="110"/>
      <c r="C47" s="180">
        <v>1040510000</v>
      </c>
      <c r="D47" s="416">
        <f>IFERROR(VLOOKUP(C47,'tb control'!$C$10:$D$277,2,FALSE),0)</f>
        <v>3900</v>
      </c>
      <c r="E47" s="420">
        <f>IFERROR(VLOOKUP(C47,'tb control'!$C$10:$E$277,3,FALSE),0)</f>
        <v>0</v>
      </c>
      <c r="F47" s="98">
        <f t="shared" si="0"/>
        <v>3900</v>
      </c>
      <c r="J47" s="85"/>
      <c r="L47" s="85"/>
      <c r="M47" s="85"/>
      <c r="R47" s="85"/>
    </row>
    <row r="48" spans="1:18" s="86" customFormat="1" hidden="1" x14ac:dyDescent="0.25">
      <c r="A48" s="183" t="s">
        <v>348</v>
      </c>
      <c r="B48" s="110"/>
      <c r="C48" s="180">
        <v>1040512000</v>
      </c>
      <c r="D48" s="416">
        <f>IFERROR(VLOOKUP(C48,'tb control'!$C$10:$D$277,2,FALSE),0)</f>
        <v>0</v>
      </c>
      <c r="E48" s="420">
        <f>IFERROR(VLOOKUP(C48,'tb control'!$C$10:$E$277,3,FALSE),0)</f>
        <v>0</v>
      </c>
      <c r="F48" s="98">
        <f t="shared" si="0"/>
        <v>0</v>
      </c>
      <c r="J48" s="85"/>
      <c r="L48" s="85"/>
      <c r="M48" s="85"/>
      <c r="R48" s="85"/>
    </row>
    <row r="49" spans="1:18" s="86" customFormat="1" ht="20.25" hidden="1" customHeight="1" x14ac:dyDescent="0.25">
      <c r="A49" s="183" t="s">
        <v>349</v>
      </c>
      <c r="B49" s="94"/>
      <c r="C49" s="180">
        <v>1040513000</v>
      </c>
      <c r="D49" s="416">
        <f>IFERROR(VLOOKUP(C49,'tb control'!$C$10:$D$277,2,FALSE),0)</f>
        <v>0</v>
      </c>
      <c r="E49" s="420">
        <f>IFERROR(VLOOKUP(C49,'tb control'!$C$10:$E$277,3,FALSE),0)</f>
        <v>0</v>
      </c>
      <c r="F49" s="98">
        <f t="shared" si="0"/>
        <v>0</v>
      </c>
      <c r="J49" s="85"/>
      <c r="L49" s="85"/>
      <c r="M49" s="85"/>
      <c r="R49" s="85"/>
    </row>
    <row r="50" spans="1:18" s="86" customFormat="1" x14ac:dyDescent="0.25">
      <c r="A50" s="183" t="s">
        <v>488</v>
      </c>
      <c r="B50" s="110"/>
      <c r="C50" s="180">
        <v>1040599000</v>
      </c>
      <c r="D50" s="416">
        <f>IFERROR(VLOOKUP(C50,'tb control'!$C$10:$D$277,2,FALSE),0)</f>
        <v>25570</v>
      </c>
      <c r="E50" s="420">
        <f>IFERROR(VLOOKUP(C50,'tb control'!$C$10:$E$277,3,FALSE),0)</f>
        <v>0</v>
      </c>
      <c r="F50" s="98">
        <f t="shared" si="0"/>
        <v>25570</v>
      </c>
      <c r="J50" s="85"/>
      <c r="L50" s="85"/>
      <c r="M50" s="85"/>
      <c r="R50" s="85"/>
    </row>
    <row r="51" spans="1:18" s="86" customFormat="1" x14ac:dyDescent="0.25">
      <c r="A51" s="183" t="s">
        <v>350</v>
      </c>
      <c r="B51" s="110"/>
      <c r="C51" s="180">
        <v>1040601000</v>
      </c>
      <c r="D51" s="416">
        <f>IFERROR(VLOOKUP(C51,'tb control'!$C$10:$D$277,2,FALSE),0)</f>
        <v>752978.5</v>
      </c>
      <c r="E51" s="420">
        <f>IFERROR(VLOOKUP(C51,'tb control'!$C$10:$E$277,3,FALSE),0)</f>
        <v>0</v>
      </c>
      <c r="F51" s="98">
        <f t="shared" si="0"/>
        <v>752978.5</v>
      </c>
      <c r="J51" s="85"/>
      <c r="L51" s="85"/>
      <c r="M51" s="85"/>
      <c r="R51" s="85"/>
    </row>
    <row r="52" spans="1:18" s="86" customFormat="1" ht="16.5" customHeight="1" x14ac:dyDescent="0.25">
      <c r="A52" s="183" t="s">
        <v>21</v>
      </c>
      <c r="B52" s="110"/>
      <c r="C52" s="180">
        <v>1060101000</v>
      </c>
      <c r="D52" s="416">
        <f>IFERROR(VLOOKUP(C52,'tb control'!$C$10:$D$277,2,FALSE),0)</f>
        <v>13914630</v>
      </c>
      <c r="E52" s="420">
        <f>IFERROR(VLOOKUP(C52,'tb control'!$C$10:$E$277,3,FALSE),0)</f>
        <v>0</v>
      </c>
      <c r="F52" s="98">
        <f t="shared" si="0"/>
        <v>13914630</v>
      </c>
      <c r="J52" s="85"/>
      <c r="K52" s="85"/>
      <c r="L52" s="85"/>
      <c r="M52" s="85"/>
      <c r="R52" s="85"/>
    </row>
    <row r="53" spans="1:18" s="86" customFormat="1" ht="16.5" customHeight="1" x14ac:dyDescent="0.25">
      <c r="A53" s="183" t="s">
        <v>236</v>
      </c>
      <c r="B53" s="110"/>
      <c r="C53" s="180">
        <v>1060299000</v>
      </c>
      <c r="D53" s="416">
        <f>IFERROR(VLOOKUP(C53,'tb control'!$C$10:$D$277,2,FALSE),0)</f>
        <v>699000</v>
      </c>
      <c r="E53" s="420">
        <f>IFERROR(VLOOKUP(C53,'tb control'!$C$10:$E$277,3,FALSE),0)</f>
        <v>0</v>
      </c>
      <c r="F53" s="98">
        <f t="shared" si="0"/>
        <v>699000</v>
      </c>
      <c r="J53" s="85"/>
      <c r="K53" s="85"/>
      <c r="L53" s="85"/>
      <c r="M53" s="85"/>
      <c r="R53" s="85"/>
    </row>
    <row r="54" spans="1:18" s="86" customFormat="1" x14ac:dyDescent="0.25">
      <c r="A54" s="183" t="s">
        <v>383</v>
      </c>
      <c r="B54" s="110"/>
      <c r="C54" s="180">
        <v>1060299100</v>
      </c>
      <c r="D54" s="416">
        <f>IFERROR(VLOOKUP(C54,'tb control'!$C$10:$D$277,2,FALSE),0)</f>
        <v>0</v>
      </c>
      <c r="E54" s="420">
        <f>IFERROR(VLOOKUP(C54,'tb control'!$C$10:$E$277,3,FALSE),0)</f>
        <v>477377.28000000003</v>
      </c>
      <c r="F54" s="98">
        <f t="shared" si="0"/>
        <v>477377.28000000003</v>
      </c>
      <c r="J54" s="85"/>
      <c r="L54" s="85"/>
      <c r="M54" s="85"/>
      <c r="R54" s="85"/>
    </row>
    <row r="55" spans="1:18" s="86" customFormat="1" x14ac:dyDescent="0.25">
      <c r="A55" s="183" t="s">
        <v>235</v>
      </c>
      <c r="B55" s="110"/>
      <c r="C55" s="180">
        <v>1060401000</v>
      </c>
      <c r="D55" s="416">
        <f>IFERROR(VLOOKUP(C55,'tb control'!$C$10:$D$277,2,FALSE),0)</f>
        <v>193062384.37</v>
      </c>
      <c r="E55" s="420">
        <f>IFERROR(VLOOKUP(C55,'tb control'!$C$10:$E$277,3,FALSE),0)</f>
        <v>0</v>
      </c>
      <c r="F55" s="98">
        <f t="shared" si="0"/>
        <v>193062384.37</v>
      </c>
      <c r="J55" s="85"/>
      <c r="L55" s="85"/>
      <c r="M55" s="85"/>
      <c r="R55" s="85"/>
    </row>
    <row r="56" spans="1:18" s="86" customFormat="1" x14ac:dyDescent="0.25">
      <c r="A56" s="183" t="s">
        <v>359</v>
      </c>
      <c r="B56" s="110"/>
      <c r="C56" s="180">
        <v>1060401100</v>
      </c>
      <c r="D56" s="416">
        <f>IFERROR(VLOOKUP(C56,'tb control'!$C$10:$D$277,2,FALSE),0)</f>
        <v>0</v>
      </c>
      <c r="E56" s="420">
        <f>IFERROR(VLOOKUP(C56,'tb control'!$C$10:$E$277,3,FALSE),0)</f>
        <v>41357030.310000002</v>
      </c>
      <c r="F56" s="98">
        <f t="shared" si="0"/>
        <v>41357030.310000002</v>
      </c>
      <c r="J56" s="85"/>
      <c r="K56" s="85"/>
      <c r="L56" s="85"/>
      <c r="M56" s="85"/>
      <c r="R56" s="85"/>
    </row>
    <row r="57" spans="1:18" s="86" customFormat="1" x14ac:dyDescent="0.25">
      <c r="A57" s="183" t="s">
        <v>24</v>
      </c>
      <c r="B57" s="110"/>
      <c r="C57" s="180">
        <v>1060499000</v>
      </c>
      <c r="D57" s="416">
        <f>IFERROR(VLOOKUP(C57,'tb control'!$C$10:$D$277,2,FALSE),0)</f>
        <v>22256506.460000001</v>
      </c>
      <c r="E57" s="420">
        <f>IFERROR(VLOOKUP(C57,'tb control'!$C$10:$E$277,3,FALSE),0)</f>
        <v>0</v>
      </c>
      <c r="F57" s="98">
        <f t="shared" si="0"/>
        <v>22256506.460000001</v>
      </c>
      <c r="J57" s="85"/>
      <c r="K57" s="85"/>
      <c r="L57" s="85"/>
      <c r="M57" s="85"/>
      <c r="R57" s="85"/>
    </row>
    <row r="58" spans="1:18" s="86" customFormat="1" x14ac:dyDescent="0.25">
      <c r="A58" s="183" t="s">
        <v>106</v>
      </c>
      <c r="B58" s="110"/>
      <c r="C58" s="180">
        <v>1060499100</v>
      </c>
      <c r="D58" s="416">
        <f>IFERROR(VLOOKUP(C58,'tb control'!$C$10:$D$277,2,FALSE),0)</f>
        <v>0</v>
      </c>
      <c r="E58" s="420">
        <f>IFERROR(VLOOKUP(C58,'tb control'!$C$10:$E$277,3,FALSE),0)</f>
        <v>5072765.9800000004</v>
      </c>
      <c r="F58" s="98">
        <f t="shared" si="0"/>
        <v>5072765.9800000004</v>
      </c>
      <c r="J58" s="85"/>
      <c r="K58" s="85"/>
      <c r="L58" s="85"/>
      <c r="M58" s="85"/>
      <c r="R58" s="85"/>
    </row>
    <row r="59" spans="1:18" s="86" customFormat="1" hidden="1" x14ac:dyDescent="0.25">
      <c r="A59" s="183" t="s">
        <v>447</v>
      </c>
      <c r="B59" s="110"/>
      <c r="C59" s="180">
        <v>1060501000</v>
      </c>
      <c r="D59" s="416">
        <f>IFERROR(VLOOKUP(C59,'tb control'!$C$10:$D$277,2,FALSE),0)</f>
        <v>0</v>
      </c>
      <c r="E59" s="420">
        <f>IFERROR(VLOOKUP(C59,'tb control'!$C$10:$E$277,3,FALSE),0)</f>
        <v>0</v>
      </c>
      <c r="F59" s="98">
        <f t="shared" si="0"/>
        <v>0</v>
      </c>
      <c r="J59" s="85"/>
      <c r="K59" s="85"/>
      <c r="L59" s="85"/>
      <c r="M59" s="85"/>
      <c r="R59" s="85"/>
    </row>
    <row r="60" spans="1:18" s="86" customFormat="1" hidden="1" x14ac:dyDescent="0.25">
      <c r="A60" s="183" t="s">
        <v>448</v>
      </c>
      <c r="B60" s="110"/>
      <c r="C60" s="180">
        <v>1060501100</v>
      </c>
      <c r="D60" s="416">
        <f>IFERROR(VLOOKUP(C60,'tb control'!$C$10:$D$277,2,FALSE),0)</f>
        <v>0</v>
      </c>
      <c r="E60" s="420">
        <f>IFERROR(VLOOKUP(C60,'tb control'!$C$10:$E$277,3,FALSE),0)</f>
        <v>0</v>
      </c>
      <c r="F60" s="98">
        <f t="shared" si="0"/>
        <v>0</v>
      </c>
      <c r="J60" s="85"/>
      <c r="K60" s="85"/>
      <c r="L60" s="85"/>
      <c r="M60" s="85"/>
      <c r="R60" s="85"/>
    </row>
    <row r="61" spans="1:18" s="86" customFormat="1" x14ac:dyDescent="0.25">
      <c r="A61" s="183" t="s">
        <v>25</v>
      </c>
      <c r="B61" s="110"/>
      <c r="C61" s="180">
        <v>1060502000</v>
      </c>
      <c r="D61" s="416">
        <f>IFERROR(VLOOKUP(C61,'tb control'!$C$10:$D$277,2,FALSE),0)</f>
        <v>10848086.25</v>
      </c>
      <c r="E61" s="420">
        <f>IFERROR(VLOOKUP(C61,'tb control'!$C$10:$E$277,3,FALSE),0)</f>
        <v>0</v>
      </c>
      <c r="F61" s="98">
        <f t="shared" si="0"/>
        <v>10848086.25</v>
      </c>
      <c r="J61" s="85"/>
      <c r="K61" s="85"/>
      <c r="L61" s="85"/>
      <c r="M61" s="85"/>
      <c r="R61" s="85"/>
    </row>
    <row r="62" spans="1:18" s="86" customFormat="1" x14ac:dyDescent="0.25">
      <c r="A62" s="183" t="s">
        <v>88</v>
      </c>
      <c r="B62" s="110"/>
      <c r="C62" s="180">
        <v>1060502100</v>
      </c>
      <c r="D62" s="416">
        <f>IFERROR(VLOOKUP(C62,'tb control'!$C$10:$D$277,2,FALSE),0)</f>
        <v>0</v>
      </c>
      <c r="E62" s="420">
        <f>IFERROR(VLOOKUP(C62,'tb control'!$C$10:$E$277,3,FALSE),0)</f>
        <v>8194329.8899999997</v>
      </c>
      <c r="F62" s="98">
        <f t="shared" si="0"/>
        <v>8194329.8899999997</v>
      </c>
      <c r="J62" s="85"/>
      <c r="K62" s="85"/>
      <c r="L62" s="85"/>
      <c r="M62" s="85"/>
      <c r="R62" s="85"/>
    </row>
    <row r="63" spans="1:18" s="86" customFormat="1" ht="31.5" x14ac:dyDescent="0.25">
      <c r="A63" s="183" t="s">
        <v>102</v>
      </c>
      <c r="B63" s="110"/>
      <c r="C63" s="180">
        <v>1060503000</v>
      </c>
      <c r="D63" s="416">
        <f>IFERROR(VLOOKUP(C63,'tb control'!$C$10:$D$277,2,FALSE),0)</f>
        <v>51002202.969999999</v>
      </c>
      <c r="E63" s="420">
        <f>IFERROR(VLOOKUP(C63,'tb control'!$C$10:$E$277,3,FALSE),0)</f>
        <v>0</v>
      </c>
      <c r="F63" s="98">
        <f t="shared" si="0"/>
        <v>51002202.969999999</v>
      </c>
      <c r="J63" s="85"/>
      <c r="K63" s="85"/>
      <c r="L63" s="85"/>
      <c r="M63" s="85"/>
      <c r="R63" s="85"/>
    </row>
    <row r="64" spans="1:18" s="86" customFormat="1" ht="31.5" x14ac:dyDescent="0.25">
      <c r="A64" s="183" t="s">
        <v>399</v>
      </c>
      <c r="B64" s="110"/>
      <c r="C64" s="180">
        <v>1060503100</v>
      </c>
      <c r="D64" s="416">
        <f>IFERROR(VLOOKUP(C64,'tb control'!$C$10:$D$277,2,FALSE),0)</f>
        <v>0</v>
      </c>
      <c r="E64" s="420">
        <f>IFERROR(VLOOKUP(C64,'tb control'!$C$10:$E$277,3,FALSE),0)</f>
        <v>22246659.5</v>
      </c>
      <c r="F64" s="98">
        <f t="shared" si="0"/>
        <v>22246659.5</v>
      </c>
      <c r="J64" s="85"/>
      <c r="K64" s="85"/>
      <c r="L64" s="85"/>
      <c r="M64" s="85"/>
      <c r="R64" s="85"/>
    </row>
    <row r="65" spans="1:18" s="86" customFormat="1" x14ac:dyDescent="0.25">
      <c r="A65" s="183" t="s">
        <v>26</v>
      </c>
      <c r="B65" s="110"/>
      <c r="C65" s="180">
        <v>1060507000</v>
      </c>
      <c r="D65" s="416">
        <f>IFERROR(VLOOKUP(C65,'tb control'!$C$10:$D$277,2,FALSE),0)</f>
        <v>8181442.96</v>
      </c>
      <c r="E65" s="420">
        <f>IFERROR(VLOOKUP(C65,'tb control'!$C$10:$E$277,3,FALSE),0)</f>
        <v>0</v>
      </c>
      <c r="F65" s="98">
        <f t="shared" si="0"/>
        <v>8181442.96</v>
      </c>
      <c r="J65" s="85"/>
      <c r="K65" s="85"/>
      <c r="L65" s="85"/>
      <c r="M65" s="85"/>
      <c r="R65" s="85"/>
    </row>
    <row r="66" spans="1:18" s="86" customFormat="1" ht="16.5" customHeight="1" x14ac:dyDescent="0.25">
      <c r="A66" s="183" t="s">
        <v>90</v>
      </c>
      <c r="B66" s="110"/>
      <c r="C66" s="180">
        <v>1060507100</v>
      </c>
      <c r="D66" s="416">
        <f>IFERROR(VLOOKUP(C66,'tb control'!$C$10:$D$277,2,FALSE),0)</f>
        <v>0</v>
      </c>
      <c r="E66" s="420">
        <f>IFERROR(VLOOKUP(C66,'tb control'!$C$10:$E$277,3,FALSE),0)</f>
        <v>2063972.97</v>
      </c>
      <c r="F66" s="98">
        <f t="shared" si="0"/>
        <v>2063972.97</v>
      </c>
      <c r="J66" s="85"/>
      <c r="K66" s="85"/>
      <c r="L66" s="85"/>
      <c r="M66" s="85"/>
      <c r="R66" s="85"/>
    </row>
    <row r="67" spans="1:18" s="86" customFormat="1" ht="16.5" hidden="1" customHeight="1" x14ac:dyDescent="0.25">
      <c r="A67" s="183" t="s">
        <v>103</v>
      </c>
      <c r="B67" s="110"/>
      <c r="C67" s="180">
        <v>1060509000</v>
      </c>
      <c r="D67" s="416">
        <f>IFERROR(VLOOKUP(C67,'tb control'!$C$10:$D$277,2,FALSE),0)</f>
        <v>0</v>
      </c>
      <c r="E67" s="420">
        <f>IFERROR(VLOOKUP(C67,'tb control'!$C$10:$E$277,3,FALSE),0)</f>
        <v>0</v>
      </c>
      <c r="F67" s="98">
        <f t="shared" si="0"/>
        <v>0</v>
      </c>
      <c r="J67" s="85"/>
      <c r="K67" s="85"/>
      <c r="L67" s="85"/>
      <c r="M67" s="85"/>
      <c r="R67" s="85"/>
    </row>
    <row r="68" spans="1:18" s="86" customFormat="1" ht="16.5" hidden="1" customHeight="1" x14ac:dyDescent="0.25">
      <c r="A68" s="183" t="s">
        <v>108</v>
      </c>
      <c r="B68" s="94"/>
      <c r="C68" s="180">
        <v>1060509100</v>
      </c>
      <c r="D68" s="416">
        <f>IFERROR(VLOOKUP(C68,'tb control'!$C$10:$D$277,2,FALSE),0)</f>
        <v>0</v>
      </c>
      <c r="E68" s="420">
        <f>IFERROR(VLOOKUP(C68,'tb control'!$C$10:$E$277,3,FALSE),0)</f>
        <v>0</v>
      </c>
      <c r="F68" s="98">
        <f t="shared" si="0"/>
        <v>0</v>
      </c>
      <c r="J68" s="85"/>
      <c r="K68" s="85"/>
      <c r="L68" s="85"/>
      <c r="M68" s="85"/>
      <c r="R68" s="85"/>
    </row>
    <row r="69" spans="1:18" s="86" customFormat="1" ht="16.5" hidden="1" customHeight="1" x14ac:dyDescent="0.25">
      <c r="A69" s="183" t="s">
        <v>104</v>
      </c>
      <c r="B69" s="110"/>
      <c r="C69" s="180">
        <v>1060511000</v>
      </c>
      <c r="D69" s="416">
        <f>IFERROR(VLOOKUP(C69,'tb control'!$C$10:$D$277,2,FALSE),0)</f>
        <v>0</v>
      </c>
      <c r="E69" s="420">
        <f>IFERROR(VLOOKUP(C69,'tb control'!$C$10:$E$277,3,FALSE),0)</f>
        <v>0</v>
      </c>
      <c r="F69" s="98">
        <f t="shared" si="0"/>
        <v>0</v>
      </c>
      <c r="J69" s="85"/>
      <c r="K69" s="85"/>
      <c r="L69" s="85"/>
      <c r="M69" s="85"/>
      <c r="R69" s="85"/>
    </row>
    <row r="70" spans="1:18" s="86" customFormat="1" hidden="1" x14ac:dyDescent="0.25">
      <c r="A70" s="183" t="s">
        <v>109</v>
      </c>
      <c r="B70" s="110"/>
      <c r="C70" s="180">
        <v>1060511100</v>
      </c>
      <c r="D70" s="416">
        <f>IFERROR(VLOOKUP(C70,'tb control'!$C$10:$D$277,2,FALSE),0)</f>
        <v>0</v>
      </c>
      <c r="E70" s="420">
        <f>IFERROR(VLOOKUP(C70,'tb control'!$C$10:$E$277,3,FALSE),0)</f>
        <v>0</v>
      </c>
      <c r="F70" s="98">
        <f t="shared" si="0"/>
        <v>0</v>
      </c>
      <c r="J70" s="85"/>
      <c r="K70" s="85"/>
      <c r="L70" s="85"/>
      <c r="M70" s="85"/>
      <c r="R70" s="85"/>
    </row>
    <row r="71" spans="1:18" s="86" customFormat="1" x14ac:dyDescent="0.25">
      <c r="A71" s="183" t="s">
        <v>27</v>
      </c>
      <c r="B71" s="110"/>
      <c r="C71" s="180">
        <v>1060513000</v>
      </c>
      <c r="D71" s="416">
        <f>IFERROR(VLOOKUP(C71,'tb control'!$C$10:$D$277,2,FALSE),0)</f>
        <v>158769</v>
      </c>
      <c r="E71" s="420">
        <f>IFERROR(VLOOKUP(C71,'tb control'!$C$10:$E$277,3,FALSE),0)</f>
        <v>0</v>
      </c>
      <c r="F71" s="98">
        <f t="shared" si="0"/>
        <v>158769</v>
      </c>
      <c r="J71" s="85"/>
      <c r="K71" s="85"/>
      <c r="L71" s="85"/>
      <c r="M71" s="85"/>
      <c r="R71" s="85"/>
    </row>
    <row r="72" spans="1:18" s="86" customFormat="1" x14ac:dyDescent="0.25">
      <c r="A72" s="183" t="s">
        <v>91</v>
      </c>
      <c r="B72" s="110"/>
      <c r="C72" s="180">
        <v>1060513100</v>
      </c>
      <c r="D72" s="416">
        <f>IFERROR(VLOOKUP(C72,'tb control'!$C$10:$D$277,2,FALSE),0)</f>
        <v>0</v>
      </c>
      <c r="E72" s="420">
        <f>IFERROR(VLOOKUP(C72,'tb control'!$C$10:$E$277,3,FALSE),0)</f>
        <v>150830.54999999999</v>
      </c>
      <c r="F72" s="98">
        <f t="shared" si="0"/>
        <v>150830.54999999999</v>
      </c>
      <c r="J72" s="85"/>
      <c r="K72" s="85"/>
      <c r="L72" s="85"/>
      <c r="M72" s="85"/>
      <c r="R72" s="85"/>
    </row>
    <row r="73" spans="1:18" s="86" customFormat="1" x14ac:dyDescent="0.25">
      <c r="A73" s="183" t="s">
        <v>265</v>
      </c>
      <c r="B73" s="110"/>
      <c r="C73" s="180">
        <v>1060514000</v>
      </c>
      <c r="D73" s="416">
        <f>IFERROR(VLOOKUP(C73,'tb control'!$C$10:$D$277,2,FALSE),0)</f>
        <v>435078.56</v>
      </c>
      <c r="E73" s="420">
        <f>IFERROR(VLOOKUP(C73,'tb control'!$C$10:$E$277,3,FALSE),0)</f>
        <v>0</v>
      </c>
      <c r="F73" s="98">
        <f t="shared" si="0"/>
        <v>435078.56</v>
      </c>
      <c r="J73" s="85"/>
      <c r="K73" s="85"/>
      <c r="L73" s="85"/>
      <c r="M73" s="85"/>
      <c r="R73" s="85"/>
    </row>
    <row r="74" spans="1:18" s="86" customFormat="1" ht="16.5" customHeight="1" x14ac:dyDescent="0.25">
      <c r="A74" s="183" t="s">
        <v>266</v>
      </c>
      <c r="B74" s="110"/>
      <c r="C74" s="180">
        <v>1060514100</v>
      </c>
      <c r="D74" s="416">
        <f>IFERROR(VLOOKUP(C74,'tb control'!$C$10:$D$277,2,FALSE),0)</f>
        <v>0</v>
      </c>
      <c r="E74" s="420">
        <f>IFERROR(VLOOKUP(C74,'tb control'!$C$10:$E$277,3,FALSE),0)</f>
        <v>269936.06</v>
      </c>
      <c r="F74" s="98">
        <f t="shared" si="0"/>
        <v>269936.06</v>
      </c>
      <c r="J74" s="85"/>
      <c r="K74" s="85"/>
      <c r="L74" s="85"/>
      <c r="M74" s="85"/>
      <c r="R74" s="85"/>
    </row>
    <row r="75" spans="1:18" s="86" customFormat="1" ht="16.5" customHeight="1" x14ac:dyDescent="0.25">
      <c r="A75" s="183" t="s">
        <v>489</v>
      </c>
      <c r="B75" s="110"/>
      <c r="C75" s="180">
        <v>1060599000</v>
      </c>
      <c r="D75" s="416">
        <f>IFERROR(VLOOKUP(C75,'tb control'!$C$10:$D$277,2,FALSE),0)</f>
        <v>1887336.87</v>
      </c>
      <c r="E75" s="420">
        <f>IFERROR(VLOOKUP(C75,'tb control'!$C$10:$E$277,3,FALSE),0)</f>
        <v>0</v>
      </c>
      <c r="F75" s="98">
        <f t="shared" ref="F75:F140" si="1">D75+E75</f>
        <v>1887336.87</v>
      </c>
      <c r="J75" s="85"/>
      <c r="K75" s="85"/>
      <c r="L75" s="85"/>
      <c r="M75" s="85"/>
      <c r="R75" s="85"/>
    </row>
    <row r="76" spans="1:18" s="86" customFormat="1" x14ac:dyDescent="0.25">
      <c r="A76" s="183" t="s">
        <v>490</v>
      </c>
      <c r="B76" s="110"/>
      <c r="C76" s="180">
        <v>1060599100</v>
      </c>
      <c r="D76" s="416">
        <f>IFERROR(VLOOKUP(C76,'tb control'!$C$10:$D$277,2,FALSE),0)</f>
        <v>0</v>
      </c>
      <c r="E76" s="420">
        <f>IFERROR(VLOOKUP(C76,'tb control'!$C$10:$E$277,3,FALSE),0)</f>
        <v>781714.57</v>
      </c>
      <c r="F76" s="98">
        <f t="shared" si="1"/>
        <v>781714.57</v>
      </c>
      <c r="J76" s="85"/>
      <c r="K76" s="85"/>
      <c r="L76" s="85"/>
      <c r="M76" s="85"/>
      <c r="R76" s="85"/>
    </row>
    <row r="77" spans="1:18" s="86" customFormat="1" x14ac:dyDescent="0.25">
      <c r="A77" s="183" t="s">
        <v>28</v>
      </c>
      <c r="B77" s="110"/>
      <c r="C77" s="180">
        <v>1060601000</v>
      </c>
      <c r="D77" s="416">
        <f>IFERROR(VLOOKUP(C77,'tb control'!$C$10:$D$277,2,FALSE),0)</f>
        <v>53384186.759999998</v>
      </c>
      <c r="E77" s="420">
        <f>IFERROR(VLOOKUP(C77,'tb control'!$C$10:$E$277,3,FALSE),0)</f>
        <v>0</v>
      </c>
      <c r="F77" s="98">
        <f t="shared" si="1"/>
        <v>53384186.759999998</v>
      </c>
      <c r="J77" s="85"/>
      <c r="K77" s="85"/>
      <c r="L77" s="85"/>
      <c r="M77" s="85"/>
      <c r="R77" s="85"/>
    </row>
    <row r="78" spans="1:18" s="86" customFormat="1" hidden="1" x14ac:dyDescent="0.25">
      <c r="A78" s="183" t="s">
        <v>477</v>
      </c>
      <c r="B78" s="110"/>
      <c r="C78" s="180">
        <v>1060501100</v>
      </c>
      <c r="D78" s="416">
        <f>IFERROR(VLOOKUP(C78,'tb control'!$C$10:$D$277,2,FALSE),0)</f>
        <v>0</v>
      </c>
      <c r="E78" s="420">
        <f>IFERROR(VLOOKUP(C78,'tb control'!$C$10:$E$277,3,FALSE),0)</f>
        <v>0</v>
      </c>
      <c r="F78" s="98">
        <f t="shared" si="1"/>
        <v>0</v>
      </c>
      <c r="J78" s="85"/>
      <c r="K78" s="85"/>
      <c r="L78" s="85"/>
      <c r="M78" s="85"/>
      <c r="R78" s="85"/>
    </row>
    <row r="79" spans="1:18" s="86" customFormat="1" ht="16.5" customHeight="1" x14ac:dyDescent="0.25">
      <c r="A79" s="183" t="s">
        <v>92</v>
      </c>
      <c r="B79" s="110"/>
      <c r="C79" s="180">
        <v>1060601100</v>
      </c>
      <c r="D79" s="416">
        <f>IFERROR(VLOOKUP(C79,'tb control'!$C$10:$D$277,2,FALSE),0)</f>
        <v>0</v>
      </c>
      <c r="E79" s="420">
        <f>IFERROR(VLOOKUP(C79,'tb control'!$C$10:$E$277,3,FALSE),0)</f>
        <v>29012774.379999999</v>
      </c>
      <c r="F79" s="98">
        <f t="shared" si="1"/>
        <v>29012774.379999999</v>
      </c>
      <c r="J79" s="85"/>
      <c r="K79" s="85"/>
      <c r="L79" s="85"/>
      <c r="M79" s="85"/>
      <c r="R79" s="85"/>
    </row>
    <row r="80" spans="1:18" s="86" customFormat="1" ht="16.5" customHeight="1" x14ac:dyDescent="0.25">
      <c r="A80" s="183" t="s">
        <v>86</v>
      </c>
      <c r="B80" s="110"/>
      <c r="C80" s="180">
        <v>1060701000</v>
      </c>
      <c r="D80" s="416">
        <f>IFERROR(VLOOKUP(C80,'tb control'!$C$10:$D$277,2,FALSE),0)</f>
        <v>330000</v>
      </c>
      <c r="E80" s="420">
        <f>IFERROR(VLOOKUP(C80,'tb control'!$C$10:$E$277,3,FALSE),0)</f>
        <v>0</v>
      </c>
      <c r="F80" s="98">
        <f t="shared" si="1"/>
        <v>330000</v>
      </c>
      <c r="J80" s="85"/>
      <c r="K80" s="85"/>
      <c r="L80" s="85"/>
      <c r="M80" s="85"/>
      <c r="R80" s="85"/>
    </row>
    <row r="81" spans="1:27" x14ac:dyDescent="0.25">
      <c r="A81" s="183" t="s">
        <v>89</v>
      </c>
      <c r="B81" s="110"/>
      <c r="C81" s="180">
        <v>1060701100</v>
      </c>
      <c r="D81" s="416">
        <f>IFERROR(VLOOKUP(C81,'tb control'!$C$10:$D$277,2,FALSE),0)</f>
        <v>0</v>
      </c>
      <c r="E81" s="420">
        <f>IFERROR(VLOOKUP(C81,'tb control'!$C$10:$E$277,3,FALSE),0)</f>
        <v>179124.09</v>
      </c>
      <c r="F81" s="98">
        <f t="shared" si="1"/>
        <v>179124.09</v>
      </c>
      <c r="G81" s="86"/>
      <c r="K81" s="86"/>
      <c r="S81" s="86"/>
      <c r="T81" s="86"/>
      <c r="AA81" s="86"/>
    </row>
    <row r="82" spans="1:27" ht="31.5" x14ac:dyDescent="0.25">
      <c r="A82" s="179" t="s">
        <v>555</v>
      </c>
      <c r="B82" s="110"/>
      <c r="C82" s="180">
        <v>10607012000</v>
      </c>
      <c r="D82" s="416">
        <f>IFERROR(VLOOKUP(C82,'tb control'!$C$10:$D$277,2,FALSE),0)</f>
        <v>0</v>
      </c>
      <c r="E82" s="420">
        <f>IFERROR(VLOOKUP(C82,'tb control'!$C$10:$E$277,3,FALSE),0)</f>
        <v>0</v>
      </c>
      <c r="F82" s="98"/>
      <c r="G82" s="86"/>
      <c r="K82" s="86"/>
      <c r="S82" s="86"/>
      <c r="T82" s="86"/>
      <c r="AA82" s="86"/>
    </row>
    <row r="83" spans="1:27" hidden="1" x14ac:dyDescent="0.25">
      <c r="A83" s="183" t="s">
        <v>101</v>
      </c>
      <c r="B83" s="110"/>
      <c r="C83" s="180">
        <v>1060702000</v>
      </c>
      <c r="D83" s="416">
        <f>IFERROR(VLOOKUP(C83,'tb control'!$C$10:$D$277,2,FALSE),0)</f>
        <v>0</v>
      </c>
      <c r="E83" s="420">
        <f>IFERROR(VLOOKUP(C83,'tb control'!$C$10:$E$277,3,FALSE),0)</f>
        <v>0</v>
      </c>
      <c r="F83" s="98">
        <f t="shared" si="1"/>
        <v>0</v>
      </c>
      <c r="G83" s="86"/>
      <c r="K83" s="86"/>
      <c r="S83" s="86"/>
      <c r="T83" s="86"/>
      <c r="AA83" s="86"/>
    </row>
    <row r="84" spans="1:27" x14ac:dyDescent="0.25">
      <c r="A84" s="183" t="s">
        <v>417</v>
      </c>
      <c r="B84" s="110"/>
      <c r="C84" s="180">
        <v>1060803000</v>
      </c>
      <c r="D84" s="416">
        <f>IFERROR(VLOOKUP(C84,'tb control'!$C$10:$D$277,2,FALSE),0)</f>
        <v>577680</v>
      </c>
      <c r="E84" s="420">
        <f>IFERROR(VLOOKUP(C84,'tb control'!$C$10:$E$277,3,FALSE),0)</f>
        <v>0</v>
      </c>
      <c r="F84" s="98">
        <f t="shared" si="1"/>
        <v>577680</v>
      </c>
      <c r="G84" s="86"/>
      <c r="K84" s="86"/>
      <c r="S84" s="86"/>
      <c r="T84" s="86"/>
      <c r="AA84" s="86"/>
    </row>
    <row r="85" spans="1:27" s="182" customFormat="1" ht="31.5" x14ac:dyDescent="0.25">
      <c r="A85" s="179" t="s">
        <v>418</v>
      </c>
      <c r="B85" s="180"/>
      <c r="C85" s="180">
        <v>1060803100</v>
      </c>
      <c r="D85" s="416">
        <f>IFERROR(VLOOKUP(C85,'tb control'!$C$10:$D$277,2,FALSE),0)</f>
        <v>0</v>
      </c>
      <c r="E85" s="420">
        <f>IFERROR(VLOOKUP(C85,'tb control'!$C$10:$E$277,3,FALSE),0)</f>
        <v>42892.5</v>
      </c>
      <c r="F85" s="98">
        <f t="shared" si="1"/>
        <v>42892.5</v>
      </c>
      <c r="G85" s="181"/>
      <c r="H85" s="181"/>
      <c r="I85" s="181"/>
      <c r="K85" s="181"/>
      <c r="N85" s="181"/>
      <c r="O85" s="181"/>
      <c r="P85" s="181"/>
      <c r="Q85" s="181"/>
      <c r="S85" s="181"/>
      <c r="T85" s="181"/>
      <c r="U85" s="181"/>
      <c r="V85" s="181"/>
      <c r="W85" s="181"/>
      <c r="X85" s="181"/>
      <c r="Y85" s="181"/>
      <c r="AA85" s="181"/>
    </row>
    <row r="86" spans="1:27" hidden="1" x14ac:dyDescent="0.25">
      <c r="A86" s="183" t="s">
        <v>107</v>
      </c>
      <c r="B86" s="110"/>
      <c r="C86" s="180">
        <v>1060702100</v>
      </c>
      <c r="D86" s="416">
        <f>IFERROR(VLOOKUP(C86,'tb control'!$C$10:$D$277,2,FALSE),0)</f>
        <v>0</v>
      </c>
      <c r="E86" s="420">
        <f>IFERROR(VLOOKUP(C86,'tb control'!$C$10:$E$277,3,FALSE),0)</f>
        <v>0</v>
      </c>
      <c r="F86" s="98">
        <f t="shared" si="1"/>
        <v>0</v>
      </c>
      <c r="G86" s="86"/>
      <c r="K86" s="86"/>
      <c r="S86" s="86"/>
      <c r="T86" s="86"/>
      <c r="AA86" s="86"/>
    </row>
    <row r="87" spans="1:27" ht="31.5" x14ac:dyDescent="0.25">
      <c r="A87" s="183" t="s">
        <v>230</v>
      </c>
      <c r="B87" s="110"/>
      <c r="C87" s="180">
        <v>1069803000</v>
      </c>
      <c r="D87" s="416">
        <f>IFERROR(VLOOKUP(C87,'tb control'!$C$10:$D$277,2,FALSE),0)</f>
        <v>13457915.16</v>
      </c>
      <c r="E87" s="420">
        <f>IFERROR(VLOOKUP(C87,'tb control'!$C$10:$E$277,3,FALSE),0)</f>
        <v>0</v>
      </c>
      <c r="F87" s="98">
        <f t="shared" si="1"/>
        <v>13457915.16</v>
      </c>
      <c r="G87" s="86"/>
      <c r="S87" s="86"/>
      <c r="T87" s="86"/>
      <c r="AA87" s="86"/>
    </row>
    <row r="88" spans="1:27" hidden="1" x14ac:dyDescent="0.25">
      <c r="A88" s="183" t="s">
        <v>87</v>
      </c>
      <c r="B88" s="110"/>
      <c r="C88" s="180">
        <v>1069999000</v>
      </c>
      <c r="D88" s="416">
        <f>IFERROR(VLOOKUP(C88,'tb control'!$C$10:$D$277,2,FALSE),0)</f>
        <v>0</v>
      </c>
      <c r="E88" s="420">
        <f>IFERROR(VLOOKUP(C88,'tb control'!$C$10:$E$277,3,FALSE),0)</f>
        <v>0</v>
      </c>
      <c r="F88" s="98">
        <f t="shared" si="1"/>
        <v>0</v>
      </c>
      <c r="G88" s="86"/>
      <c r="S88" s="86"/>
      <c r="T88" s="86"/>
      <c r="AA88" s="86"/>
    </row>
    <row r="89" spans="1:27" ht="31.5" hidden="1" x14ac:dyDescent="0.25">
      <c r="A89" s="183" t="s">
        <v>93</v>
      </c>
      <c r="B89" s="110"/>
      <c r="C89" s="180">
        <v>1069999100</v>
      </c>
      <c r="D89" s="416">
        <f>IFERROR(VLOOKUP(C89,'tb control'!$C$10:$D$277,2,FALSE),0)</f>
        <v>0</v>
      </c>
      <c r="E89" s="420">
        <f>IFERROR(VLOOKUP(C89,'tb control'!$C$10:$E$277,3,FALSE),0)</f>
        <v>0</v>
      </c>
      <c r="F89" s="98">
        <f t="shared" si="1"/>
        <v>0</v>
      </c>
      <c r="G89" s="86"/>
      <c r="S89" s="86"/>
      <c r="T89" s="86"/>
      <c r="AA89" s="86"/>
    </row>
    <row r="90" spans="1:27" s="86" customFormat="1" x14ac:dyDescent="0.25">
      <c r="A90" s="183" t="s">
        <v>354</v>
      </c>
      <c r="B90" s="110"/>
      <c r="C90" s="180">
        <v>1080102000</v>
      </c>
      <c r="D90" s="416">
        <f>IFERROR(VLOOKUP(C90,'tb control'!$C$10:$D$277,2,FALSE),0)</f>
        <v>997450</v>
      </c>
      <c r="E90" s="420">
        <f>IFERROR(VLOOKUP(C90,'tb control'!$C$10:$E$277,3,FALSE),0)</f>
        <v>0</v>
      </c>
      <c r="F90" s="98">
        <f t="shared" si="1"/>
        <v>997450</v>
      </c>
      <c r="J90" s="85"/>
      <c r="K90" s="85"/>
      <c r="L90" s="85"/>
      <c r="M90" s="85"/>
      <c r="R90" s="85"/>
    </row>
    <row r="91" spans="1:27" s="86" customFormat="1" x14ac:dyDescent="0.25">
      <c r="A91" s="183" t="s">
        <v>355</v>
      </c>
      <c r="B91" s="110"/>
      <c r="C91" s="180">
        <v>1080102100</v>
      </c>
      <c r="D91" s="416">
        <f>IFERROR(VLOOKUP(C91,'tb control'!$C$10:$D$277,2,FALSE),0)</f>
        <v>0</v>
      </c>
      <c r="E91" s="420">
        <f>IFERROR(VLOOKUP(C91,'tb control'!$C$10:$E$277,3,FALSE),0)</f>
        <v>94757.759999999995</v>
      </c>
      <c r="F91" s="98">
        <f t="shared" si="1"/>
        <v>94757.759999999995</v>
      </c>
      <c r="J91" s="85"/>
      <c r="K91" s="85"/>
      <c r="L91" s="85"/>
      <c r="M91" s="85"/>
      <c r="R91" s="85"/>
    </row>
    <row r="92" spans="1:27" s="86" customFormat="1" hidden="1" x14ac:dyDescent="0.25">
      <c r="A92" s="183" t="s">
        <v>228</v>
      </c>
      <c r="B92" s="110"/>
      <c r="C92" s="180">
        <v>1990102000</v>
      </c>
      <c r="D92" s="416">
        <f>IFERROR(VLOOKUP(C92,'tb control'!$C$10:$D$277,2,FALSE),0)</f>
        <v>0</v>
      </c>
      <c r="E92" s="420">
        <f>IFERROR(VLOOKUP(C92,'tb control'!$C$10:$E$277,3,FALSE),0)</f>
        <v>0</v>
      </c>
      <c r="F92" s="98">
        <f t="shared" si="1"/>
        <v>0</v>
      </c>
      <c r="J92" s="85"/>
      <c r="K92" s="85"/>
      <c r="L92" s="85"/>
      <c r="M92" s="85"/>
      <c r="R92" s="85"/>
    </row>
    <row r="93" spans="1:27" s="86" customFormat="1" x14ac:dyDescent="0.25">
      <c r="A93" s="183" t="s">
        <v>398</v>
      </c>
      <c r="B93" s="110"/>
      <c r="C93" s="180">
        <v>1990103000</v>
      </c>
      <c r="D93" s="416">
        <f>IFERROR(VLOOKUP(C93,'tb control'!$C$10:$D$277,2,FALSE),0)</f>
        <v>21337000</v>
      </c>
      <c r="E93" s="420">
        <f>IFERROR(VLOOKUP(C93,'tb control'!$C$10:$E$277,3,FALSE),0)</f>
        <v>0</v>
      </c>
      <c r="F93" s="98">
        <f t="shared" si="1"/>
        <v>21337000</v>
      </c>
      <c r="J93" s="85"/>
      <c r="K93" s="85"/>
      <c r="L93" s="85"/>
      <c r="M93" s="85"/>
      <c r="R93" s="85"/>
    </row>
    <row r="94" spans="1:27" s="86" customFormat="1" hidden="1" x14ac:dyDescent="0.25">
      <c r="A94" s="183" t="s">
        <v>12</v>
      </c>
      <c r="B94" s="94"/>
      <c r="C94" s="180">
        <v>1990104000</v>
      </c>
      <c r="D94" s="416">
        <f>IFERROR(VLOOKUP(C94,'tb control'!$C$10:$D$277,2,FALSE),0)</f>
        <v>0</v>
      </c>
      <c r="E94" s="420">
        <f>IFERROR(VLOOKUP(C94,'tb control'!$C$10:$E$277,3,FALSE),0)</f>
        <v>0</v>
      </c>
      <c r="F94" s="98">
        <f t="shared" si="1"/>
        <v>0</v>
      </c>
      <c r="J94" s="85"/>
      <c r="K94" s="85"/>
      <c r="L94" s="85"/>
      <c r="M94" s="85"/>
      <c r="R94" s="85"/>
    </row>
    <row r="95" spans="1:27" s="86" customFormat="1" x14ac:dyDescent="0.25">
      <c r="A95" s="183" t="s">
        <v>226</v>
      </c>
      <c r="B95" s="110"/>
      <c r="C95" s="180">
        <v>1990201000</v>
      </c>
      <c r="D95" s="416">
        <f>IFERROR(VLOOKUP(C95,'tb control'!$C$10:$D$277,2,FALSE),0)</f>
        <v>82068.67</v>
      </c>
      <c r="E95" s="420">
        <f>IFERROR(VLOOKUP(C95,'tb control'!$C$10:$E$277,3,FALSE),0)</f>
        <v>0</v>
      </c>
      <c r="F95" s="98">
        <f t="shared" si="1"/>
        <v>82068.67</v>
      </c>
      <c r="J95" s="85"/>
      <c r="K95" s="85"/>
      <c r="L95" s="85"/>
      <c r="M95" s="85"/>
      <c r="R95" s="85"/>
    </row>
    <row r="96" spans="1:27" s="86" customFormat="1" x14ac:dyDescent="0.25">
      <c r="A96" s="183" t="s">
        <v>225</v>
      </c>
      <c r="B96" s="110"/>
      <c r="C96" s="180">
        <v>1990202000</v>
      </c>
      <c r="D96" s="416">
        <f>IFERROR(VLOOKUP(C96,'tb control'!$C$10:$D$277,2,FALSE),0)</f>
        <v>104861.57</v>
      </c>
      <c r="E96" s="420">
        <f>IFERROR(VLOOKUP(C96,'tb control'!$C$10:$E$277,3,FALSE),0)</f>
        <v>0</v>
      </c>
      <c r="F96" s="98">
        <f t="shared" si="1"/>
        <v>104861.57</v>
      </c>
      <c r="J96" s="85"/>
      <c r="K96" s="85"/>
      <c r="L96" s="85"/>
      <c r="M96" s="85"/>
      <c r="R96" s="85"/>
    </row>
    <row r="97" spans="1:18" s="86" customFormat="1" ht="16.5" customHeight="1" x14ac:dyDescent="0.25">
      <c r="A97" s="183" t="s">
        <v>224</v>
      </c>
      <c r="B97" s="110"/>
      <c r="C97" s="180">
        <v>1990205000</v>
      </c>
      <c r="D97" s="416">
        <f>IFERROR(VLOOKUP(C97,'tb control'!$C$10:$D$277,2,FALSE),0)</f>
        <v>748200.5</v>
      </c>
      <c r="E97" s="420">
        <f>IFERROR(VLOOKUP(C97,'tb control'!$C$10:$E$277,3,FALSE),0)</f>
        <v>0</v>
      </c>
      <c r="F97" s="98">
        <f t="shared" si="1"/>
        <v>748200.5</v>
      </c>
      <c r="J97" s="85"/>
      <c r="K97" s="85"/>
      <c r="L97" s="85"/>
      <c r="M97" s="85"/>
      <c r="R97" s="85"/>
    </row>
    <row r="98" spans="1:18" s="86" customFormat="1" ht="16.5" hidden="1" customHeight="1" x14ac:dyDescent="0.25">
      <c r="A98" s="183" t="s">
        <v>459</v>
      </c>
      <c r="B98" s="110"/>
      <c r="C98" s="180">
        <v>1990210001</v>
      </c>
      <c r="D98" s="416">
        <f>IFERROR(VLOOKUP(C98,'tb control'!$C$10:$D$277,2,FALSE),0)</f>
        <v>0</v>
      </c>
      <c r="E98" s="420">
        <f>IFERROR(VLOOKUP(C98,'tb control'!$C$10:$E$277,3,FALSE),0)</f>
        <v>0</v>
      </c>
      <c r="F98" s="98">
        <f t="shared" si="1"/>
        <v>0</v>
      </c>
      <c r="J98" s="85"/>
      <c r="K98" s="85"/>
      <c r="L98" s="85"/>
      <c r="M98" s="85"/>
      <c r="R98" s="85"/>
    </row>
    <row r="99" spans="1:18" s="86" customFormat="1" x14ac:dyDescent="0.25">
      <c r="A99" s="183" t="s">
        <v>545</v>
      </c>
      <c r="B99" s="110"/>
      <c r="C99" s="180">
        <v>1990299000</v>
      </c>
      <c r="D99" s="416">
        <f>IFERROR(VLOOKUP(C99,'tb control'!$C$10:$D$277,2,FALSE),0)</f>
        <v>47350</v>
      </c>
      <c r="E99" s="420">
        <f>IFERROR(VLOOKUP(C99,'tb control'!$C$10:$E$277,3,FALSE),0)</f>
        <v>0</v>
      </c>
      <c r="F99" s="98">
        <f t="shared" si="1"/>
        <v>47350</v>
      </c>
      <c r="J99" s="85"/>
      <c r="K99" s="85"/>
      <c r="L99" s="85"/>
      <c r="M99" s="85"/>
      <c r="R99" s="85"/>
    </row>
    <row r="100" spans="1:18" s="86" customFormat="1" x14ac:dyDescent="0.25">
      <c r="A100" s="183" t="s">
        <v>223</v>
      </c>
      <c r="B100" s="110"/>
      <c r="C100" s="180">
        <v>1990302000</v>
      </c>
      <c r="D100" s="416">
        <f>IFERROR(VLOOKUP(C100,'tb control'!$C$10:$D$277,2,FALSE),0)</f>
        <v>561610.4</v>
      </c>
      <c r="E100" s="420">
        <f>IFERROR(VLOOKUP(C100,'tb control'!$C$10:$E$277,3,FALSE),0)</f>
        <v>0</v>
      </c>
      <c r="F100" s="98">
        <f t="shared" si="1"/>
        <v>561610.4</v>
      </c>
      <c r="J100" s="85"/>
      <c r="K100" s="85"/>
      <c r="L100" s="85"/>
      <c r="M100" s="85"/>
      <c r="R100" s="85"/>
    </row>
    <row r="101" spans="1:18" s="86" customFormat="1" x14ac:dyDescent="0.25">
      <c r="A101" s="183" t="s">
        <v>29</v>
      </c>
      <c r="B101" s="110"/>
      <c r="C101" s="180">
        <v>2010101000</v>
      </c>
      <c r="D101" s="416">
        <f>IFERROR(VLOOKUP(C101,'tb control'!$C$10:$D$277,2,FALSE),0)</f>
        <v>0</v>
      </c>
      <c r="E101" s="420">
        <f>IFERROR(VLOOKUP(C101,'tb control'!$C$10:$E$277,3,FALSE),0)</f>
        <v>185060554.27000001</v>
      </c>
      <c r="F101" s="98">
        <f t="shared" si="1"/>
        <v>185060554.27000001</v>
      </c>
      <c r="J101" s="85"/>
      <c r="K101" s="85"/>
      <c r="L101" s="85"/>
      <c r="M101" s="85"/>
      <c r="R101" s="85"/>
    </row>
    <row r="102" spans="1:18" s="86" customFormat="1" x14ac:dyDescent="0.25">
      <c r="A102" s="183" t="s">
        <v>449</v>
      </c>
      <c r="B102" s="110"/>
      <c r="C102" s="180">
        <v>2010107000</v>
      </c>
      <c r="D102" s="416">
        <f>IFERROR(VLOOKUP(C102,'tb control'!$C$10:$D$277,2,FALSE),0)</f>
        <v>0</v>
      </c>
      <c r="E102" s="420">
        <f>IFERROR(VLOOKUP(C102,'tb control'!$C$10:$E$277,3,FALSE),0)</f>
        <v>149560</v>
      </c>
      <c r="F102" s="98">
        <f t="shared" si="1"/>
        <v>149560</v>
      </c>
      <c r="J102" s="85"/>
      <c r="K102" s="85"/>
      <c r="L102" s="85"/>
      <c r="M102" s="85"/>
      <c r="R102" s="85"/>
    </row>
    <row r="103" spans="1:18" s="86" customFormat="1" x14ac:dyDescent="0.25">
      <c r="A103" s="183" t="s">
        <v>30</v>
      </c>
      <c r="B103" s="94"/>
      <c r="C103" s="180">
        <v>2020101000</v>
      </c>
      <c r="D103" s="416">
        <f>IFERROR(VLOOKUP(C103,'tb control'!$C$10:$D$277,2,FALSE),0)</f>
        <v>0</v>
      </c>
      <c r="E103" s="420">
        <f>IFERROR(VLOOKUP(C103,'tb control'!$C$10:$E$277,3,FALSE),0)</f>
        <v>1025567.56</v>
      </c>
      <c r="F103" s="98">
        <f t="shared" si="1"/>
        <v>1025567.56</v>
      </c>
      <c r="J103" s="85"/>
      <c r="K103" s="85"/>
      <c r="L103" s="85"/>
      <c r="M103" s="85"/>
      <c r="R103" s="85"/>
    </row>
    <row r="104" spans="1:18" s="86" customFormat="1" hidden="1" x14ac:dyDescent="0.25">
      <c r="A104" s="183" t="s">
        <v>31</v>
      </c>
      <c r="B104" s="94"/>
      <c r="C104" s="180">
        <v>2020102000</v>
      </c>
      <c r="D104" s="416">
        <f>IFERROR(VLOOKUP(C104,'tb control'!$C$10:$D$277,2,FALSE),0)</f>
        <v>0</v>
      </c>
      <c r="E104" s="420">
        <f>IFERROR(VLOOKUP(C104,'tb control'!$C$10:$E$277,3,FALSE),0)</f>
        <v>0</v>
      </c>
      <c r="F104" s="98">
        <f t="shared" si="1"/>
        <v>0</v>
      </c>
      <c r="J104" s="85"/>
      <c r="K104" s="85"/>
      <c r="L104" s="85"/>
      <c r="M104" s="85"/>
      <c r="R104" s="85"/>
    </row>
    <row r="105" spans="1:18" s="86" customFormat="1" x14ac:dyDescent="0.25">
      <c r="A105" s="183" t="s">
        <v>391</v>
      </c>
      <c r="B105" s="94"/>
      <c r="C105" s="180">
        <v>2020102001</v>
      </c>
      <c r="D105" s="416">
        <f>IFERROR(VLOOKUP(C105,'tb control'!$C$10:$D$277,2,FALSE),0)</f>
        <v>0</v>
      </c>
      <c r="E105" s="420">
        <f>IFERROR(VLOOKUP(C105,'tb control'!$C$10:$E$277,3,FALSE),0)</f>
        <v>71741.22</v>
      </c>
      <c r="F105" s="98">
        <f t="shared" si="1"/>
        <v>71741.22</v>
      </c>
      <c r="J105" s="85"/>
      <c r="K105" s="85"/>
      <c r="L105" s="85"/>
      <c r="M105" s="85"/>
      <c r="R105" s="85"/>
    </row>
    <row r="106" spans="1:18" s="86" customFormat="1" hidden="1" x14ac:dyDescent="0.25">
      <c r="A106" s="183" t="s">
        <v>392</v>
      </c>
      <c r="B106" s="94"/>
      <c r="C106" s="180">
        <v>2020102002</v>
      </c>
      <c r="D106" s="416">
        <f>IFERROR(VLOOKUP(C106,'tb control'!$C$10:$D$277,2,FALSE),0)</f>
        <v>0</v>
      </c>
      <c r="E106" s="420">
        <f>IFERROR(VLOOKUP(C106,'tb control'!$C$10:$E$277,3,FALSE),0)</f>
        <v>0</v>
      </c>
      <c r="F106" s="98">
        <f t="shared" si="1"/>
        <v>0</v>
      </c>
      <c r="J106" s="85"/>
      <c r="K106" s="85"/>
      <c r="L106" s="85"/>
      <c r="M106" s="85"/>
      <c r="R106" s="85"/>
    </row>
    <row r="107" spans="1:18" s="86" customFormat="1" x14ac:dyDescent="0.25">
      <c r="A107" s="183" t="s">
        <v>393</v>
      </c>
      <c r="B107" s="110"/>
      <c r="C107" s="180">
        <v>2020102003</v>
      </c>
      <c r="D107" s="416">
        <f>IFERROR(VLOOKUP(C107,'tb control'!$C$10:$D$277,2,FALSE),0)</f>
        <v>0</v>
      </c>
      <c r="E107" s="420">
        <f>IFERROR(VLOOKUP(C107,'tb control'!$C$10:$E$277,3,FALSE),0)</f>
        <v>65473.78</v>
      </c>
      <c r="F107" s="98">
        <f t="shared" si="1"/>
        <v>65473.78</v>
      </c>
      <c r="J107" s="85"/>
      <c r="K107" s="85"/>
      <c r="L107" s="85"/>
      <c r="M107" s="85"/>
      <c r="R107" s="85"/>
    </row>
    <row r="108" spans="1:18" s="86" customFormat="1" x14ac:dyDescent="0.25">
      <c r="A108" s="183" t="s">
        <v>394</v>
      </c>
      <c r="B108" s="94"/>
      <c r="C108" s="180">
        <v>2020102004</v>
      </c>
      <c r="D108" s="416">
        <f>IFERROR(VLOOKUP(C108,'tb control'!$C$10:$D$277,2,FALSE),0)</f>
        <v>0</v>
      </c>
      <c r="E108" s="420">
        <f>IFERROR(VLOOKUP(C108,'tb control'!$C$10:$E$277,3,FALSE),0)</f>
        <v>1705.17</v>
      </c>
      <c r="F108" s="98">
        <f t="shared" si="1"/>
        <v>1705.17</v>
      </c>
      <c r="J108" s="85"/>
      <c r="K108" s="85"/>
      <c r="L108" s="85"/>
      <c r="M108" s="85"/>
      <c r="R108" s="85"/>
    </row>
    <row r="109" spans="1:18" s="86" customFormat="1" hidden="1" x14ac:dyDescent="0.25">
      <c r="A109" s="183" t="s">
        <v>32</v>
      </c>
      <c r="B109" s="94"/>
      <c r="C109" s="180">
        <v>2020103000</v>
      </c>
      <c r="D109" s="416">
        <f>IFERROR(VLOOKUP(C109,'tb control'!$C$10:$D$277,2,FALSE),0)</f>
        <v>0</v>
      </c>
      <c r="E109" s="420">
        <f>IFERROR(VLOOKUP(C109,'tb control'!$C$10:$E$277,3,FALSE),0)</f>
        <v>0</v>
      </c>
      <c r="F109" s="98">
        <f t="shared" si="1"/>
        <v>0</v>
      </c>
      <c r="J109" s="85"/>
      <c r="K109" s="85"/>
      <c r="L109" s="85"/>
      <c r="M109" s="85"/>
      <c r="R109" s="85"/>
    </row>
    <row r="110" spans="1:18" s="86" customFormat="1" x14ac:dyDescent="0.25">
      <c r="A110" s="183" t="s">
        <v>395</v>
      </c>
      <c r="B110" s="94"/>
      <c r="C110" s="180">
        <v>2020103001</v>
      </c>
      <c r="D110" s="416">
        <f>IFERROR(VLOOKUP(C110,'tb control'!$C$10:$D$277,2,FALSE),0)</f>
        <v>0</v>
      </c>
      <c r="E110" s="420">
        <f>IFERROR(VLOOKUP(C110,'tb control'!$C$10:$E$277,3,FALSE),0)</f>
        <v>800648.79</v>
      </c>
      <c r="F110" s="98">
        <f t="shared" si="1"/>
        <v>800648.79</v>
      </c>
      <c r="J110" s="85"/>
      <c r="K110" s="85"/>
      <c r="L110" s="85"/>
      <c r="M110" s="85"/>
      <c r="R110" s="85"/>
    </row>
    <row r="111" spans="1:18" s="86" customFormat="1" x14ac:dyDescent="0.25">
      <c r="A111" s="183" t="s">
        <v>396</v>
      </c>
      <c r="B111" s="110"/>
      <c r="C111" s="180">
        <v>2020103002</v>
      </c>
      <c r="D111" s="416">
        <f>IFERROR(VLOOKUP(C111,'tb control'!$C$10:$D$277,2,FALSE),0)</f>
        <v>0</v>
      </c>
      <c r="E111" s="420">
        <f>IFERROR(VLOOKUP(C111,'tb control'!$C$10:$E$277,3,FALSE),0)</f>
        <v>31454.42</v>
      </c>
      <c r="F111" s="98">
        <f t="shared" si="1"/>
        <v>31454.42</v>
      </c>
      <c r="J111" s="85"/>
      <c r="K111" s="85"/>
      <c r="L111" s="85"/>
      <c r="M111" s="85"/>
      <c r="R111" s="85"/>
    </row>
    <row r="112" spans="1:18" s="86" customFormat="1" x14ac:dyDescent="0.25">
      <c r="A112" s="183" t="s">
        <v>397</v>
      </c>
      <c r="B112" s="110"/>
      <c r="C112" s="180">
        <v>2020103003</v>
      </c>
      <c r="D112" s="416">
        <f>IFERROR(VLOOKUP(C112,'tb control'!$C$10:$D$277,2,FALSE),0)</f>
        <v>0</v>
      </c>
      <c r="E112" s="420">
        <f>IFERROR(VLOOKUP(C112,'tb control'!$C$10:$E$277,3,FALSE),0)</f>
        <v>36203.54</v>
      </c>
      <c r="F112" s="98">
        <f t="shared" si="1"/>
        <v>36203.54</v>
      </c>
      <c r="J112" s="85"/>
      <c r="K112" s="85"/>
      <c r="L112" s="85"/>
      <c r="M112" s="85"/>
      <c r="R112" s="85"/>
    </row>
    <row r="113" spans="1:18" s="86" customFormat="1" x14ac:dyDescent="0.25">
      <c r="A113" s="183" t="s">
        <v>33</v>
      </c>
      <c r="B113" s="110"/>
      <c r="C113" s="180">
        <v>2020104000</v>
      </c>
      <c r="D113" s="416">
        <f>IFERROR(VLOOKUP(C113,'tb control'!$C$10:$D$277,2,FALSE),0)</f>
        <v>0</v>
      </c>
      <c r="E113" s="420">
        <f>IFERROR(VLOOKUP(C113,'tb control'!$C$10:$E$277,3,FALSE),0)</f>
        <v>915693.23</v>
      </c>
      <c r="F113" s="98">
        <f t="shared" si="1"/>
        <v>915693.23</v>
      </c>
      <c r="J113" s="85"/>
      <c r="K113" s="85"/>
      <c r="L113" s="85"/>
      <c r="M113" s="85"/>
      <c r="R113" s="85"/>
    </row>
    <row r="114" spans="1:18" s="86" customFormat="1" x14ac:dyDescent="0.25">
      <c r="A114" s="183" t="s">
        <v>492</v>
      </c>
      <c r="B114" s="110"/>
      <c r="C114" s="180">
        <v>2020105000</v>
      </c>
      <c r="D114" s="416">
        <f>IFERROR(VLOOKUP(C114,'tb control'!$C$10:$D$277,2,FALSE),0)</f>
        <v>0</v>
      </c>
      <c r="E114" s="420">
        <f>IFERROR(VLOOKUP(C114,'tb control'!$C$10:$E$277,3,FALSE),0)</f>
        <v>210000</v>
      </c>
      <c r="F114" s="98">
        <f t="shared" si="1"/>
        <v>210000</v>
      </c>
      <c r="J114" s="85"/>
      <c r="K114" s="85"/>
      <c r="L114" s="85"/>
      <c r="M114" s="85"/>
      <c r="R114" s="85"/>
    </row>
    <row r="115" spans="1:18" s="86" customFormat="1" x14ac:dyDescent="0.25">
      <c r="A115" s="183" t="s">
        <v>493</v>
      </c>
      <c r="B115" s="110"/>
      <c r="C115" s="180">
        <v>2020106000</v>
      </c>
      <c r="D115" s="416">
        <f>IFERROR(VLOOKUP(C115,'tb control'!$C$10:$D$277,2,FALSE),0)</f>
        <v>0</v>
      </c>
      <c r="E115" s="420">
        <f>IFERROR(VLOOKUP(C115,'tb control'!$C$10:$E$277,3,FALSE),0)</f>
        <v>2435287.89</v>
      </c>
      <c r="F115" s="98">
        <f t="shared" si="1"/>
        <v>2435287.89</v>
      </c>
      <c r="J115" s="85"/>
      <c r="K115" s="85"/>
      <c r="L115" s="85"/>
      <c r="M115" s="85"/>
      <c r="R115" s="85"/>
    </row>
    <row r="116" spans="1:18" s="86" customFormat="1" ht="16.5" customHeight="1" x14ac:dyDescent="0.25">
      <c r="A116" s="183" t="s">
        <v>494</v>
      </c>
      <c r="B116" s="110"/>
      <c r="C116" s="180">
        <v>2020107000</v>
      </c>
      <c r="D116" s="416">
        <f>IFERROR(VLOOKUP(C116,'tb control'!$C$10:$D$277,2,FALSE),0)</f>
        <v>0</v>
      </c>
      <c r="E116" s="420">
        <f>IFERROR(VLOOKUP(C116,'tb control'!$C$10:$E$277,3,FALSE),0)</f>
        <v>11098873.93</v>
      </c>
      <c r="F116" s="98">
        <f t="shared" si="1"/>
        <v>11098873.93</v>
      </c>
      <c r="J116" s="85"/>
      <c r="K116" s="85"/>
      <c r="L116" s="85"/>
      <c r="M116" s="85"/>
      <c r="R116" s="85"/>
    </row>
    <row r="117" spans="1:18" s="86" customFormat="1" ht="16.5" hidden="1" customHeight="1" x14ac:dyDescent="0.25">
      <c r="A117" s="183" t="s">
        <v>35</v>
      </c>
      <c r="B117" s="110"/>
      <c r="C117" s="180">
        <v>2030101000</v>
      </c>
      <c r="D117" s="416">
        <f>IFERROR(VLOOKUP(C117,'tb control'!$C$10:$D$277,2,FALSE),0)</f>
        <v>0</v>
      </c>
      <c r="E117" s="420">
        <f>IFERROR(VLOOKUP(C117,'tb control'!$C$10:$E$277,3,FALSE),0)</f>
        <v>0</v>
      </c>
      <c r="F117" s="98">
        <f t="shared" si="1"/>
        <v>0</v>
      </c>
      <c r="J117" s="85"/>
      <c r="K117" s="85"/>
      <c r="L117" s="85"/>
      <c r="M117" s="85"/>
      <c r="R117" s="85"/>
    </row>
    <row r="118" spans="1:18" s="86" customFormat="1" ht="16.5" hidden="1" customHeight="1" x14ac:dyDescent="0.25">
      <c r="A118" s="183" t="s">
        <v>221</v>
      </c>
      <c r="B118" s="110"/>
      <c r="C118" s="180">
        <v>2030103000</v>
      </c>
      <c r="D118" s="416">
        <f>IFERROR(VLOOKUP(C118,'tb control'!$C$10:$D$277,2,FALSE),0)</f>
        <v>0</v>
      </c>
      <c r="E118" s="420">
        <f>IFERROR(VLOOKUP(C118,'tb control'!$C$10:$E$277,3,FALSE),0)</f>
        <v>0</v>
      </c>
      <c r="F118" s="98">
        <f t="shared" si="1"/>
        <v>0</v>
      </c>
      <c r="J118" s="85"/>
      <c r="K118" s="85"/>
      <c r="L118" s="85"/>
      <c r="M118" s="85"/>
      <c r="R118" s="85"/>
    </row>
    <row r="119" spans="1:18" s="86" customFormat="1" hidden="1" x14ac:dyDescent="0.25">
      <c r="A119" s="183" t="s">
        <v>353</v>
      </c>
      <c r="B119" s="110"/>
      <c r="C119" s="180">
        <v>2030105000</v>
      </c>
      <c r="D119" s="416">
        <f>IFERROR(VLOOKUP(C119,'tb control'!$C$10:$D$277,2,FALSE),0)</f>
        <v>0</v>
      </c>
      <c r="E119" s="420">
        <f>IFERROR(VLOOKUP(C119,'tb control'!$C$10:$E$277,3,FALSE),0)</f>
        <v>0</v>
      </c>
      <c r="F119" s="98">
        <f t="shared" si="1"/>
        <v>0</v>
      </c>
      <c r="J119" s="85"/>
      <c r="K119" s="85"/>
      <c r="L119" s="85"/>
      <c r="M119" s="85"/>
      <c r="R119" s="85"/>
    </row>
    <row r="120" spans="1:18" s="86" customFormat="1" x14ac:dyDescent="0.25">
      <c r="A120" s="183" t="s">
        <v>482</v>
      </c>
      <c r="B120" s="110"/>
      <c r="C120" s="180">
        <v>2010102000</v>
      </c>
      <c r="D120" s="416">
        <f>IFERROR(VLOOKUP(C120,'tb control'!$C$10:$D$277,2,FALSE),0)</f>
        <v>0</v>
      </c>
      <c r="E120" s="420">
        <f>IFERROR(VLOOKUP(C120,'tb control'!$C$10:$E$277,3,FALSE),0)</f>
        <v>16276</v>
      </c>
      <c r="F120" s="98">
        <f t="shared" si="1"/>
        <v>16276</v>
      </c>
      <c r="J120" s="85"/>
      <c r="K120" s="85"/>
      <c r="L120" s="85"/>
      <c r="M120" s="85"/>
      <c r="R120" s="85"/>
    </row>
    <row r="121" spans="1:18" s="86" customFormat="1" ht="16.5" hidden="1" customHeight="1" x14ac:dyDescent="0.25">
      <c r="A121" s="183" t="s">
        <v>219</v>
      </c>
      <c r="B121" s="110"/>
      <c r="C121" s="180">
        <v>2040102000</v>
      </c>
      <c r="D121" s="416">
        <f>IFERROR(VLOOKUP(C121,'tb control'!$C$10:$D$277,2,FALSE),0)</f>
        <v>0</v>
      </c>
      <c r="E121" s="420">
        <f>IFERROR(VLOOKUP(C121,'tb control'!$C$10:$E$277,3,FALSE),0)</f>
        <v>0</v>
      </c>
      <c r="F121" s="98">
        <f t="shared" si="1"/>
        <v>0</v>
      </c>
      <c r="J121" s="85"/>
      <c r="K121" s="85"/>
      <c r="L121" s="85"/>
      <c r="M121" s="85"/>
      <c r="R121" s="85"/>
    </row>
    <row r="122" spans="1:18" s="86" customFormat="1" x14ac:dyDescent="0.25">
      <c r="A122" s="183" t="s">
        <v>508</v>
      </c>
      <c r="B122" s="110"/>
      <c r="C122" s="180">
        <v>2040104000</v>
      </c>
      <c r="D122" s="416">
        <f>IFERROR(VLOOKUP(C122,'tb control'!$C$10:$D$277,2,FALSE),0)</f>
        <v>0</v>
      </c>
      <c r="E122" s="420">
        <f>IFERROR(VLOOKUP(C122,'tb control'!$C$10:$E$277,3,FALSE),0)</f>
        <v>6260372.3499999996</v>
      </c>
      <c r="F122" s="98">
        <f t="shared" si="1"/>
        <v>6260372.3499999996</v>
      </c>
      <c r="J122" s="85"/>
      <c r="K122" s="85"/>
      <c r="L122" s="85"/>
      <c r="M122" s="85"/>
      <c r="R122" s="85"/>
    </row>
    <row r="123" spans="1:18" s="86" customFormat="1" x14ac:dyDescent="0.25">
      <c r="A123" s="183" t="s">
        <v>37</v>
      </c>
      <c r="B123" s="110"/>
      <c r="C123" s="180">
        <v>2999999000</v>
      </c>
      <c r="D123" s="416">
        <f>IFERROR(VLOOKUP(C123,'tb control'!$C$10:$D$277,2,FALSE),0)</f>
        <v>0</v>
      </c>
      <c r="E123" s="420">
        <f>IFERROR(VLOOKUP(C123,'tb control'!$C$10:$E$277,3,FALSE),0)</f>
        <v>9328622.8800000008</v>
      </c>
      <c r="F123" s="98">
        <f t="shared" si="1"/>
        <v>9328622.8800000008</v>
      </c>
      <c r="J123" s="85"/>
      <c r="K123" s="85"/>
      <c r="L123" s="85"/>
      <c r="M123" s="85"/>
      <c r="R123" s="85"/>
    </row>
    <row r="124" spans="1:18" s="86" customFormat="1" x14ac:dyDescent="0.25">
      <c r="A124" s="183" t="s">
        <v>243</v>
      </c>
      <c r="B124" s="110"/>
      <c r="C124" s="180">
        <v>3010101000</v>
      </c>
      <c r="D124" s="416">
        <f>IFERROR(VLOOKUP(C124,'tb control'!$C$10:$D$277,2,FALSE),0)</f>
        <v>0</v>
      </c>
      <c r="E124" s="420">
        <f>IFERROR(VLOOKUP(C124,'tb control'!$C$10:$E$277,3,FALSE),0)</f>
        <v>114843771</v>
      </c>
      <c r="F124" s="98">
        <f t="shared" si="1"/>
        <v>114843771</v>
      </c>
      <c r="J124" s="85"/>
      <c r="K124" s="85"/>
      <c r="L124" s="85"/>
      <c r="M124" s="85"/>
      <c r="R124" s="85"/>
    </row>
    <row r="125" spans="1:18" s="86" customFormat="1" x14ac:dyDescent="0.25">
      <c r="A125" s="183" t="s">
        <v>112</v>
      </c>
      <c r="B125" s="110"/>
      <c r="C125" s="180">
        <v>4020101099</v>
      </c>
      <c r="D125" s="416">
        <f>IFERROR(VLOOKUP(C125,'tb control'!$C$10:$D$277,2,FALSE),0)</f>
        <v>0</v>
      </c>
      <c r="E125" s="420">
        <f>IFERROR(VLOOKUP(C125,'tb control'!$C$10:$E$277,3,FALSE),0)</f>
        <v>6500</v>
      </c>
      <c r="F125" s="98">
        <f t="shared" si="1"/>
        <v>6500</v>
      </c>
      <c r="J125" s="85"/>
      <c r="K125" s="85"/>
      <c r="L125" s="85"/>
      <c r="M125" s="85"/>
      <c r="R125" s="85"/>
    </row>
    <row r="126" spans="1:18" s="86" customFormat="1" x14ac:dyDescent="0.25">
      <c r="A126" s="183" t="s">
        <v>113</v>
      </c>
      <c r="B126" s="110"/>
      <c r="C126" s="180">
        <v>4020102000</v>
      </c>
      <c r="D126" s="416">
        <f>IFERROR(VLOOKUP(C126,'tb control'!$C$10:$D$277,2,FALSE),0)</f>
        <v>0</v>
      </c>
      <c r="E126" s="420">
        <f>IFERROR(VLOOKUP(C126,'tb control'!$C$10:$E$277,3,FALSE),0)</f>
        <v>5000</v>
      </c>
      <c r="F126" s="98">
        <f t="shared" si="1"/>
        <v>5000</v>
      </c>
      <c r="J126" s="85"/>
      <c r="K126" s="85"/>
      <c r="L126" s="85"/>
      <c r="M126" s="85"/>
      <c r="R126" s="85"/>
    </row>
    <row r="127" spans="1:18" s="86" customFormat="1" x14ac:dyDescent="0.25">
      <c r="A127" s="183" t="s">
        <v>203</v>
      </c>
      <c r="B127" s="110"/>
      <c r="C127" s="180">
        <v>4020104001</v>
      </c>
      <c r="D127" s="416">
        <f>IFERROR(VLOOKUP(C127,'tb control'!$C$10:$D$277,2,FALSE),0)</f>
        <v>0</v>
      </c>
      <c r="E127" s="420">
        <f>IFERROR(VLOOKUP(C127,'tb control'!$C$10:$E$277,3,FALSE),0)</f>
        <v>320100</v>
      </c>
      <c r="F127" s="98">
        <f t="shared" si="1"/>
        <v>320100</v>
      </c>
      <c r="J127" s="85"/>
      <c r="K127" s="85"/>
      <c r="L127" s="85"/>
      <c r="M127" s="85"/>
      <c r="R127" s="85"/>
    </row>
    <row r="128" spans="1:18" s="86" customFormat="1" ht="16.5" customHeight="1" x14ac:dyDescent="0.25">
      <c r="A128" s="183" t="s">
        <v>111</v>
      </c>
      <c r="B128" s="110"/>
      <c r="C128" s="180">
        <v>4020106000</v>
      </c>
      <c r="D128" s="416">
        <f>IFERROR(VLOOKUP(C128,'tb control'!$C$10:$D$277,2,FALSE),0)</f>
        <v>0</v>
      </c>
      <c r="E128" s="420">
        <f>IFERROR(VLOOKUP(C128,'tb control'!$C$10:$E$277,3,FALSE),0)</f>
        <v>6000</v>
      </c>
      <c r="F128" s="98">
        <f t="shared" si="1"/>
        <v>6000</v>
      </c>
      <c r="J128" s="85"/>
      <c r="K128" s="85"/>
      <c r="L128" s="85"/>
      <c r="M128" s="85"/>
      <c r="R128" s="85"/>
    </row>
    <row r="129" spans="1:27" s="86" customFormat="1" ht="16.5" hidden="1" customHeight="1" x14ac:dyDescent="0.25">
      <c r="A129" s="183" t="s">
        <v>116</v>
      </c>
      <c r="B129" s="110"/>
      <c r="C129" s="180">
        <v>4020114000</v>
      </c>
      <c r="D129" s="416">
        <f>IFERROR(VLOOKUP(C129,'tb control'!$C$10:$D$277,2,FALSE),0)</f>
        <v>0</v>
      </c>
      <c r="E129" s="420">
        <f>IFERROR(VLOOKUP(C129,'tb control'!$C$10:$E$277,3,FALSE),0)</f>
        <v>0</v>
      </c>
      <c r="F129" s="98">
        <f t="shared" si="1"/>
        <v>0</v>
      </c>
      <c r="J129" s="85"/>
      <c r="K129" s="85"/>
      <c r="L129" s="85"/>
      <c r="M129" s="85"/>
      <c r="R129" s="85"/>
    </row>
    <row r="130" spans="1:27" s="86" customFormat="1" ht="16.5" hidden="1" customHeight="1" x14ac:dyDescent="0.25">
      <c r="A130" s="183" t="s">
        <v>117</v>
      </c>
      <c r="B130" s="110"/>
      <c r="C130" s="180">
        <v>4020202000</v>
      </c>
      <c r="D130" s="416">
        <f>IFERROR(VLOOKUP(C130,'tb control'!$C$10:$D$277,2,FALSE),0)</f>
        <v>0</v>
      </c>
      <c r="E130" s="420">
        <f>IFERROR(VLOOKUP(C130,'tb control'!$C$10:$E$277,3,FALSE),0)</f>
        <v>0</v>
      </c>
      <c r="F130" s="98">
        <f t="shared" si="1"/>
        <v>0</v>
      </c>
      <c r="J130" s="85"/>
      <c r="K130" s="85"/>
      <c r="L130" s="85"/>
      <c r="M130" s="85"/>
      <c r="R130" s="85"/>
    </row>
    <row r="131" spans="1:27" s="86" customFormat="1" hidden="1" x14ac:dyDescent="0.25">
      <c r="A131" s="183" t="s">
        <v>118</v>
      </c>
      <c r="B131" s="110"/>
      <c r="C131" s="180">
        <v>4020205000</v>
      </c>
      <c r="D131" s="416">
        <f>IFERROR(VLOOKUP(C131,'tb control'!$C$10:$D$277,2,FALSE),0)</f>
        <v>0</v>
      </c>
      <c r="E131" s="420">
        <f>IFERROR(VLOOKUP(C131,'tb control'!$C$10:$E$277,3,FALSE),0)</f>
        <v>0</v>
      </c>
      <c r="F131" s="98">
        <f t="shared" si="1"/>
        <v>0</v>
      </c>
      <c r="J131" s="85"/>
      <c r="K131" s="85"/>
      <c r="L131" s="85"/>
      <c r="M131" s="85"/>
      <c r="R131" s="85"/>
    </row>
    <row r="132" spans="1:27" s="86" customFormat="1" ht="16.5" hidden="1" customHeight="1" x14ac:dyDescent="0.25">
      <c r="A132" s="183" t="s">
        <v>119</v>
      </c>
      <c r="B132" s="110"/>
      <c r="C132" s="180">
        <v>4020213000</v>
      </c>
      <c r="D132" s="416">
        <f>IFERROR(VLOOKUP(C132,'tb control'!$C$10:$D$277,2,FALSE),0)</f>
        <v>0</v>
      </c>
      <c r="E132" s="420">
        <f>IFERROR(VLOOKUP(C132,'tb control'!$C$10:$E$277,3,FALSE),0)</f>
        <v>0</v>
      </c>
      <c r="F132" s="98">
        <f t="shared" si="1"/>
        <v>0</v>
      </c>
      <c r="J132" s="85"/>
      <c r="K132" s="85"/>
      <c r="L132" s="85"/>
      <c r="M132" s="85"/>
      <c r="R132" s="85"/>
    </row>
    <row r="133" spans="1:27" s="86" customFormat="1" ht="16.5" hidden="1" customHeight="1" x14ac:dyDescent="0.25">
      <c r="A133" s="183" t="s">
        <v>120</v>
      </c>
      <c r="B133" s="110"/>
      <c r="C133" s="180">
        <v>4020221099</v>
      </c>
      <c r="D133" s="416">
        <f>IFERROR(VLOOKUP(C133,'tb control'!$C$10:$D$277,2,FALSE),0)</f>
        <v>0</v>
      </c>
      <c r="E133" s="420">
        <f>IFERROR(VLOOKUP(C133,'tb control'!$C$10:$E$277,3,FALSE),0)</f>
        <v>0</v>
      </c>
      <c r="F133" s="98">
        <f t="shared" si="1"/>
        <v>0</v>
      </c>
      <c r="J133" s="85"/>
      <c r="K133" s="85"/>
      <c r="L133" s="85"/>
      <c r="M133" s="85"/>
      <c r="R133" s="85"/>
    </row>
    <row r="134" spans="1:27" s="86" customFormat="1" ht="16.5" customHeight="1" x14ac:dyDescent="0.25">
      <c r="A134" s="183" t="s">
        <v>218</v>
      </c>
      <c r="B134" s="110"/>
      <c r="C134" s="180">
        <v>4030101000</v>
      </c>
      <c r="D134" s="416">
        <f>IFERROR(VLOOKUP(C134,'tb control'!$C$10:$D$277,2,FALSE),0)</f>
        <v>0</v>
      </c>
      <c r="E134" s="420">
        <f>IFERROR(VLOOKUP(C134,'tb control'!$C$10:$E$277,3,FALSE),0)</f>
        <v>9780803338.5300007</v>
      </c>
      <c r="F134" s="98">
        <f t="shared" si="1"/>
        <v>9780803338.5300007</v>
      </c>
      <c r="J134" s="85"/>
      <c r="K134" s="85"/>
      <c r="L134" s="85"/>
      <c r="M134" s="85"/>
      <c r="R134" s="85"/>
    </row>
    <row r="135" spans="1:27" s="86" customFormat="1" ht="16.5" customHeight="1" x14ac:dyDescent="0.25">
      <c r="A135" s="183" t="s">
        <v>451</v>
      </c>
      <c r="B135" s="110"/>
      <c r="C135" s="180">
        <v>4030102000</v>
      </c>
      <c r="D135" s="416">
        <f>IFERROR(VLOOKUP(C135,'tb control'!$C$10:$D$277,2,FALSE),0)</f>
        <v>0</v>
      </c>
      <c r="E135" s="420">
        <f>IFERROR(VLOOKUP(C135,'tb control'!$C$10:$E$277,3,FALSE),0)</f>
        <v>2011675</v>
      </c>
      <c r="F135" s="98">
        <f t="shared" si="1"/>
        <v>2011675</v>
      </c>
      <c r="J135" s="85"/>
      <c r="K135" s="85"/>
      <c r="L135" s="85"/>
      <c r="M135" s="85"/>
      <c r="R135" s="85"/>
    </row>
    <row r="136" spans="1:27" s="86" customFormat="1" x14ac:dyDescent="0.25">
      <c r="A136" s="183" t="s">
        <v>358</v>
      </c>
      <c r="B136" s="110"/>
      <c r="C136" s="180">
        <v>4030106000</v>
      </c>
      <c r="D136" s="416">
        <f>IFERROR(VLOOKUP(C136,'tb control'!$C$10:$D$277,2,FALSE),0)</f>
        <v>0</v>
      </c>
      <c r="E136" s="420">
        <f>IFERROR(VLOOKUP(C136,'tb control'!$C$10:$E$277,3,FALSE),0)</f>
        <v>79201144.109999999</v>
      </c>
      <c r="F136" s="98">
        <f t="shared" si="1"/>
        <v>79201144.109999999</v>
      </c>
      <c r="J136" s="85"/>
      <c r="K136" s="85"/>
      <c r="L136" s="85"/>
      <c r="M136" s="85"/>
      <c r="R136" s="85"/>
    </row>
    <row r="137" spans="1:27" s="86" customFormat="1" x14ac:dyDescent="0.25">
      <c r="A137" s="183" t="s">
        <v>444</v>
      </c>
      <c r="B137" s="110"/>
      <c r="C137" s="180">
        <v>4030107000</v>
      </c>
      <c r="D137" s="416">
        <f>IFERROR(VLOOKUP(C137,'tb control'!$C$10:$D$277,2,FALSE),0)</f>
        <v>0</v>
      </c>
      <c r="E137" s="420">
        <f>IFERROR(VLOOKUP(C137,'tb control'!$C$10:$E$277,3,FALSE),0)</f>
        <v>151284609.75999999</v>
      </c>
      <c r="F137" s="98">
        <f t="shared" si="1"/>
        <v>151284609.75999999</v>
      </c>
      <c r="J137" s="85"/>
      <c r="K137" s="85"/>
      <c r="L137" s="85"/>
      <c r="M137" s="85"/>
      <c r="R137" s="85"/>
    </row>
    <row r="138" spans="1:27" s="86" customFormat="1" ht="16.5" hidden="1" customHeight="1" x14ac:dyDescent="0.25">
      <c r="A138" s="183" t="s">
        <v>114</v>
      </c>
      <c r="B138" s="110"/>
      <c r="C138" s="180">
        <v>4040201000</v>
      </c>
      <c r="D138" s="416">
        <f>IFERROR(VLOOKUP(C138,'tb control'!$C$10:$D$277,2,FALSE),0)</f>
        <v>0</v>
      </c>
      <c r="E138" s="420">
        <f>IFERROR(VLOOKUP(C138,'tb control'!$C$10:$E$277,3,FALSE),0)</f>
        <v>0</v>
      </c>
      <c r="F138" s="98">
        <f t="shared" si="1"/>
        <v>0</v>
      </c>
      <c r="J138" s="85"/>
      <c r="K138" s="85"/>
      <c r="L138" s="85"/>
      <c r="M138" s="85"/>
      <c r="R138" s="85"/>
    </row>
    <row r="139" spans="1:27" s="86" customFormat="1" x14ac:dyDescent="0.25">
      <c r="A139" s="183" t="s">
        <v>115</v>
      </c>
      <c r="B139" s="110"/>
      <c r="C139" s="180">
        <v>4040202000</v>
      </c>
      <c r="D139" s="416">
        <f>IFERROR(VLOOKUP(C139,'tb control'!$C$10:$D$277,2,FALSE),0)</f>
        <v>0</v>
      </c>
      <c r="E139" s="420">
        <f>IFERROR(VLOOKUP(C139,'tb control'!$C$10:$E$277,3,FALSE),0)</f>
        <v>95000</v>
      </c>
      <c r="F139" s="98">
        <f t="shared" si="1"/>
        <v>95000</v>
      </c>
      <c r="J139" s="85"/>
      <c r="K139" s="85"/>
      <c r="L139" s="85"/>
      <c r="M139" s="85"/>
      <c r="R139" s="85"/>
    </row>
    <row r="140" spans="1:27" s="86" customFormat="1" ht="16.5" customHeight="1" x14ac:dyDescent="0.25">
      <c r="A140" s="183" t="s">
        <v>121</v>
      </c>
      <c r="B140" s="110"/>
      <c r="C140" s="180">
        <v>4050199000</v>
      </c>
      <c r="D140" s="416">
        <f>IFERROR(VLOOKUP(C140,'tb control'!$C$10:$D$277,2,FALSE),0)</f>
        <v>0</v>
      </c>
      <c r="E140" s="420">
        <f>IFERROR(VLOOKUP(C140,'tb control'!$C$10:$E$277,3,FALSE),0)</f>
        <v>200</v>
      </c>
      <c r="F140" s="98">
        <f t="shared" si="1"/>
        <v>200</v>
      </c>
      <c r="J140" s="85"/>
      <c r="K140" s="85"/>
      <c r="L140" s="85"/>
      <c r="M140" s="85"/>
      <c r="R140" s="85"/>
    </row>
    <row r="141" spans="1:27" s="86" customFormat="1" ht="16.5" hidden="1" customHeight="1" x14ac:dyDescent="0.25">
      <c r="A141" s="183" t="s">
        <v>378</v>
      </c>
      <c r="B141" s="110"/>
      <c r="C141" s="301">
        <v>4069999000</v>
      </c>
      <c r="D141" s="416">
        <f>IFERROR(VLOOKUP(C141,'tb control'!$C$10:$D$277,2,FALSE),0)</f>
        <v>0</v>
      </c>
      <c r="E141" s="420">
        <f>IFERROR(VLOOKUP(C141,'tb control'!$C$10:$E$277,3,FALSE),0)</f>
        <v>0</v>
      </c>
      <c r="F141" s="98">
        <f t="shared" ref="F141:F206" si="2">D141+E141</f>
        <v>0</v>
      </c>
      <c r="G141" s="301">
        <v>4069999000</v>
      </c>
      <c r="J141" s="85"/>
      <c r="K141" s="85"/>
      <c r="L141" s="85"/>
      <c r="M141" s="85"/>
      <c r="R141" s="85"/>
    </row>
    <row r="142" spans="1:27" x14ac:dyDescent="0.25">
      <c r="A142" s="183" t="s">
        <v>215</v>
      </c>
      <c r="B142" s="110"/>
      <c r="C142" s="180">
        <v>5010101001</v>
      </c>
      <c r="D142" s="416">
        <f>IFERROR(VLOOKUP(C142,'tb control'!$C$10:$D$277,2,FALSE),0)</f>
        <v>60397008.460000001</v>
      </c>
      <c r="E142" s="420">
        <f>IFERROR(VLOOKUP(C142,'tb control'!$C$10:$E$277,3,FALSE),0)</f>
        <v>0</v>
      </c>
      <c r="F142" s="98">
        <f t="shared" si="2"/>
        <v>60397008.460000001</v>
      </c>
      <c r="G142" s="86"/>
      <c r="S142" s="86"/>
      <c r="T142" s="86"/>
      <c r="AA142" s="86"/>
    </row>
    <row r="143" spans="1:27" x14ac:dyDescent="0.25">
      <c r="A143" s="183" t="s">
        <v>402</v>
      </c>
      <c r="B143" s="110"/>
      <c r="C143" s="180">
        <v>5010102000</v>
      </c>
      <c r="D143" s="416">
        <f>IFERROR(VLOOKUP(C143,'tb control'!$C$10:$D$277,2,FALSE),0)</f>
        <v>702135870.62</v>
      </c>
      <c r="E143" s="420">
        <f>IFERROR(VLOOKUP(C143,'tb control'!$C$10:$E$277,3,FALSE),0)</f>
        <v>0</v>
      </c>
      <c r="F143" s="98">
        <f t="shared" si="2"/>
        <v>702135870.62</v>
      </c>
      <c r="G143" s="86"/>
      <c r="S143" s="86"/>
      <c r="T143" s="86"/>
      <c r="AA143" s="86"/>
    </row>
    <row r="144" spans="1:27" x14ac:dyDescent="0.25">
      <c r="A144" s="183" t="s">
        <v>124</v>
      </c>
      <c r="B144" s="110"/>
      <c r="C144" s="180">
        <v>5010201001</v>
      </c>
      <c r="D144" s="416">
        <f>IFERROR(VLOOKUP(C144,'tb control'!$C$10:$D$277,2,FALSE),0)</f>
        <v>2731156.4</v>
      </c>
      <c r="E144" s="420">
        <f>IFERROR(VLOOKUP(C144,'tb control'!$C$10:$E$277,3,FALSE),0)</f>
        <v>0</v>
      </c>
      <c r="F144" s="98">
        <f t="shared" si="2"/>
        <v>2731156.4</v>
      </c>
      <c r="G144" s="86"/>
      <c r="S144" s="86"/>
      <c r="T144" s="86"/>
      <c r="AA144" s="86"/>
    </row>
    <row r="145" spans="1:27" ht="16.5" customHeight="1" x14ac:dyDescent="0.25">
      <c r="A145" s="183" t="s">
        <v>38</v>
      </c>
      <c r="B145" s="110"/>
      <c r="C145" s="180">
        <v>5010202000</v>
      </c>
      <c r="D145" s="416">
        <f>IFERROR(VLOOKUP(C145,'tb control'!$C$10:$D$277,2,FALSE),0)</f>
        <v>527000</v>
      </c>
      <c r="E145" s="420">
        <f>IFERROR(VLOOKUP(C145,'tb control'!$C$10:$E$277,3,FALSE),0)</f>
        <v>0</v>
      </c>
      <c r="F145" s="98">
        <f t="shared" si="2"/>
        <v>527000</v>
      </c>
      <c r="G145" s="86"/>
      <c r="S145" s="86"/>
      <c r="T145" s="86"/>
      <c r="AA145" s="86"/>
    </row>
    <row r="146" spans="1:27" x14ac:dyDescent="0.25">
      <c r="A146" s="183" t="s">
        <v>39</v>
      </c>
      <c r="B146" s="110"/>
      <c r="C146" s="180">
        <v>5010203001</v>
      </c>
      <c r="D146" s="416">
        <f>IFERROR(VLOOKUP(C146,'tb control'!$C$10:$D$277,2,FALSE),0)</f>
        <v>527000</v>
      </c>
      <c r="E146" s="420">
        <f>IFERROR(VLOOKUP(C146,'tb control'!$C$10:$E$277,3,FALSE),0)</f>
        <v>0</v>
      </c>
      <c r="F146" s="98">
        <f t="shared" si="2"/>
        <v>527000</v>
      </c>
      <c r="G146" s="86"/>
      <c r="S146" s="86"/>
      <c r="T146" s="86"/>
      <c r="AA146" s="86"/>
    </row>
    <row r="147" spans="1:27" x14ac:dyDescent="0.25">
      <c r="A147" s="183" t="s">
        <v>40</v>
      </c>
      <c r="B147" s="110"/>
      <c r="C147" s="180">
        <v>5010204001</v>
      </c>
      <c r="D147" s="416">
        <f>IFERROR(VLOOKUP(C147,'tb control'!$C$10:$D$277,2,FALSE),0)</f>
        <v>1463000</v>
      </c>
      <c r="E147" s="420">
        <f>IFERROR(VLOOKUP(C147,'tb control'!$C$10:$E$277,3,FALSE),0)</f>
        <v>0</v>
      </c>
      <c r="F147" s="98">
        <f t="shared" si="2"/>
        <v>1463000</v>
      </c>
      <c r="G147" s="86"/>
      <c r="S147" s="86"/>
      <c r="T147" s="86"/>
      <c r="AA147" s="86"/>
    </row>
    <row r="148" spans="1:27" ht="16.5" hidden="1" customHeight="1" x14ac:dyDescent="0.25">
      <c r="A148" s="183" t="s">
        <v>128</v>
      </c>
      <c r="B148" s="110"/>
      <c r="C148" s="180">
        <v>5010205003</v>
      </c>
      <c r="D148" s="416">
        <f>IFERROR(VLOOKUP(C148,'tb control'!$C$10:$D$277,2,FALSE),0)</f>
        <v>0</v>
      </c>
      <c r="E148" s="420">
        <f>IFERROR(VLOOKUP(C148,'tb control'!$C$10:$E$277,3,FALSE),0)</f>
        <v>0</v>
      </c>
      <c r="F148" s="98">
        <f t="shared" si="2"/>
        <v>0</v>
      </c>
      <c r="G148" s="86"/>
      <c r="S148" s="86"/>
      <c r="T148" s="86"/>
      <c r="AA148" s="86"/>
    </row>
    <row r="149" spans="1:27" ht="31.5" x14ac:dyDescent="0.25">
      <c r="A149" s="183" t="s">
        <v>129</v>
      </c>
      <c r="B149" s="110"/>
      <c r="C149" s="180">
        <v>5010205004</v>
      </c>
      <c r="D149" s="416">
        <f>IFERROR(VLOOKUP(C149,'tb control'!$C$10:$D$277,2,FALSE),0)</f>
        <v>386175</v>
      </c>
      <c r="E149" s="420">
        <f>IFERROR(VLOOKUP(C149,'tb control'!$C$10:$E$277,3,FALSE),0)</f>
        <v>0</v>
      </c>
      <c r="F149" s="98">
        <f t="shared" si="2"/>
        <v>386175</v>
      </c>
      <c r="G149" s="86"/>
      <c r="S149" s="86"/>
      <c r="T149" s="86"/>
      <c r="AA149" s="86"/>
    </row>
    <row r="150" spans="1:27" ht="31.5" hidden="1" x14ac:dyDescent="0.25">
      <c r="A150" s="183" t="s">
        <v>371</v>
      </c>
      <c r="B150" s="110"/>
      <c r="C150" s="180">
        <v>5010206003</v>
      </c>
      <c r="D150" s="416">
        <f>IFERROR(VLOOKUP(C150,'tb control'!$C$10:$D$277,2,FALSE),0)</f>
        <v>0</v>
      </c>
      <c r="E150" s="420">
        <f>IFERROR(VLOOKUP(C150,'tb control'!$C$10:$E$277,3,FALSE),0)</f>
        <v>0</v>
      </c>
      <c r="F150" s="98">
        <f t="shared" si="2"/>
        <v>0</v>
      </c>
      <c r="G150" s="86"/>
      <c r="S150" s="86"/>
      <c r="T150" s="86"/>
      <c r="AA150" s="86"/>
    </row>
    <row r="151" spans="1:27" ht="31.5" x14ac:dyDescent="0.25">
      <c r="A151" s="183" t="s">
        <v>130</v>
      </c>
      <c r="B151" s="110"/>
      <c r="C151" s="180">
        <v>5010206004</v>
      </c>
      <c r="D151" s="416">
        <f>IFERROR(VLOOKUP(C151,'tb control'!$C$10:$D$277,2,FALSE),0)</f>
        <v>3600</v>
      </c>
      <c r="E151" s="420">
        <f>IFERROR(VLOOKUP(C151,'tb control'!$C$10:$E$277,3,FALSE),0)</f>
        <v>0</v>
      </c>
      <c r="F151" s="98">
        <f t="shared" si="2"/>
        <v>3600</v>
      </c>
      <c r="G151" s="86"/>
      <c r="S151" s="86"/>
      <c r="T151" s="86"/>
      <c r="AA151" s="86"/>
    </row>
    <row r="152" spans="1:27" ht="31.5" hidden="1" x14ac:dyDescent="0.25">
      <c r="A152" s="183" t="s">
        <v>131</v>
      </c>
      <c r="B152" s="110"/>
      <c r="C152" s="180">
        <v>5010207004</v>
      </c>
      <c r="D152" s="416">
        <f>IFERROR(VLOOKUP(C152,'tb control'!$C$10:$D$277,2,FALSE),0)</f>
        <v>0</v>
      </c>
      <c r="E152" s="420">
        <f>IFERROR(VLOOKUP(C152,'tb control'!$C$10:$E$277,3,FALSE),0)</f>
        <v>0</v>
      </c>
      <c r="F152" s="98">
        <f t="shared" si="2"/>
        <v>0</v>
      </c>
      <c r="G152" s="86"/>
      <c r="S152" s="86"/>
      <c r="T152" s="86"/>
      <c r="AA152" s="86"/>
    </row>
    <row r="153" spans="1:27" hidden="1" x14ac:dyDescent="0.25">
      <c r="A153" s="183" t="s">
        <v>132</v>
      </c>
      <c r="B153" s="110"/>
      <c r="C153" s="180">
        <v>5010208001</v>
      </c>
      <c r="D153" s="416">
        <f>IFERROR(VLOOKUP(C153,'tb control'!$C$10:$D$277,2,FALSE),0)</f>
        <v>0</v>
      </c>
      <c r="E153" s="420">
        <f>IFERROR(VLOOKUP(C153,'tb control'!$C$10:$E$277,3,FALSE),0)</f>
        <v>0</v>
      </c>
      <c r="F153" s="98">
        <f t="shared" si="2"/>
        <v>0</v>
      </c>
      <c r="G153" s="86"/>
      <c r="S153" s="86"/>
      <c r="T153" s="86"/>
      <c r="AA153" s="86"/>
    </row>
    <row r="154" spans="1:27" ht="16.5" customHeight="1" x14ac:dyDescent="0.25">
      <c r="A154" s="183" t="s">
        <v>125</v>
      </c>
      <c r="B154" s="110"/>
      <c r="C154" s="180">
        <v>5010210001</v>
      </c>
      <c r="D154" s="416">
        <f>IFERROR(VLOOKUP(C154,'tb control'!$C$10:$D$277,2,FALSE),0)</f>
        <v>3832.21</v>
      </c>
      <c r="E154" s="420">
        <f>IFERROR(VLOOKUP(C154,'tb control'!$C$10:$E$277,3,FALSE),0)</f>
        <v>0</v>
      </c>
      <c r="F154" s="98">
        <f t="shared" si="2"/>
        <v>3832.21</v>
      </c>
      <c r="G154" s="86"/>
      <c r="S154" s="86"/>
      <c r="T154" s="86"/>
      <c r="AA154" s="86"/>
    </row>
    <row r="155" spans="1:27" ht="16.5" customHeight="1" x14ac:dyDescent="0.25">
      <c r="A155" s="183" t="s">
        <v>126</v>
      </c>
      <c r="B155" s="110"/>
      <c r="C155" s="180">
        <v>5010211002</v>
      </c>
      <c r="D155" s="416">
        <f>IFERROR(VLOOKUP(C155,'tb control'!$C$10:$D$277,2,FALSE),0)</f>
        <v>5243173.3</v>
      </c>
      <c r="E155" s="420">
        <f>IFERROR(VLOOKUP(C155,'tb control'!$C$10:$E$277,3,FALSE),0)</f>
        <v>0</v>
      </c>
      <c r="F155" s="98">
        <f t="shared" si="2"/>
        <v>5243173.3</v>
      </c>
      <c r="G155" s="86"/>
      <c r="S155" s="86"/>
      <c r="T155" s="86"/>
      <c r="AA155" s="86"/>
    </row>
    <row r="156" spans="1:27" ht="16.5" customHeight="1" x14ac:dyDescent="0.25">
      <c r="A156" s="183" t="s">
        <v>384</v>
      </c>
      <c r="B156" s="110"/>
      <c r="C156" s="180">
        <v>5010211006</v>
      </c>
      <c r="D156" s="416">
        <f>IFERROR(VLOOKUP(C156,'tb control'!$C$10:$D$277,2,FALSE),0)</f>
        <v>7262082.9800000004</v>
      </c>
      <c r="E156" s="420">
        <f>IFERROR(VLOOKUP(C156,'tb control'!$C$10:$E$277,3,FALSE),0)</f>
        <v>0</v>
      </c>
      <c r="F156" s="98">
        <f t="shared" si="2"/>
        <v>7262082.9800000004</v>
      </c>
      <c r="G156" s="86"/>
      <c r="S156" s="86"/>
      <c r="T156" s="86"/>
      <c r="AA156" s="86"/>
    </row>
    <row r="157" spans="1:27" ht="16.5" hidden="1" customHeight="1" x14ac:dyDescent="0.25">
      <c r="A157" s="183" t="s">
        <v>127</v>
      </c>
      <c r="B157" s="110"/>
      <c r="C157" s="180">
        <v>5010212001</v>
      </c>
      <c r="D157" s="416">
        <f>IFERROR(VLOOKUP(C157,'tb control'!$C$10:$D$277,2,FALSE),0)</f>
        <v>0</v>
      </c>
      <c r="E157" s="420">
        <f>IFERROR(VLOOKUP(C157,'tb control'!$C$10:$E$277,3,FALSE),0)</f>
        <v>0</v>
      </c>
      <c r="F157" s="98">
        <f t="shared" si="2"/>
        <v>0</v>
      </c>
      <c r="G157" s="86"/>
      <c r="S157" s="86"/>
      <c r="T157" s="86"/>
      <c r="AA157" s="86"/>
    </row>
    <row r="158" spans="1:27" ht="16.5" hidden="1" customHeight="1" x14ac:dyDescent="0.25">
      <c r="A158" s="183" t="s">
        <v>214</v>
      </c>
      <c r="B158" s="110"/>
      <c r="C158" s="180">
        <v>5010213001</v>
      </c>
      <c r="D158" s="416">
        <f>IFERROR(VLOOKUP(C158,'tb control'!$C$10:$D$277,2,FALSE),0)</f>
        <v>0</v>
      </c>
      <c r="E158" s="420">
        <f>IFERROR(VLOOKUP(C158,'tb control'!$C$10:$E$277,3,FALSE),0)</f>
        <v>0</v>
      </c>
      <c r="F158" s="98">
        <f t="shared" si="2"/>
        <v>0</v>
      </c>
      <c r="G158" s="86"/>
      <c r="S158" s="86"/>
      <c r="T158" s="86"/>
      <c r="AA158" s="86"/>
    </row>
    <row r="159" spans="1:27" s="101" customFormat="1" ht="16.5" hidden="1" customHeight="1" x14ac:dyDescent="0.25">
      <c r="A159" s="183" t="s">
        <v>368</v>
      </c>
      <c r="B159" s="110"/>
      <c r="C159" s="180">
        <v>5010213002</v>
      </c>
      <c r="D159" s="416">
        <f>IFERROR(VLOOKUP(C159,'tb control'!$C$10:$D$277,2,FALSE),0)</f>
        <v>0</v>
      </c>
      <c r="E159" s="420">
        <f>IFERROR(VLOOKUP(C159,'tb control'!$C$10:$E$277,3,FALSE),0)</f>
        <v>0</v>
      </c>
      <c r="F159" s="98">
        <f t="shared" si="2"/>
        <v>0</v>
      </c>
      <c r="G159" s="97"/>
      <c r="H159" s="97"/>
      <c r="I159" s="97"/>
      <c r="N159" s="97"/>
      <c r="O159" s="97"/>
      <c r="P159" s="97"/>
      <c r="Q159" s="97"/>
      <c r="S159" s="97"/>
      <c r="T159" s="86"/>
      <c r="U159" s="97"/>
      <c r="V159" s="97"/>
      <c r="W159" s="97"/>
      <c r="X159" s="97"/>
      <c r="Y159" s="97"/>
      <c r="AA159" s="86"/>
    </row>
    <row r="160" spans="1:27" s="101" customFormat="1" x14ac:dyDescent="0.25">
      <c r="A160" s="183" t="s">
        <v>96</v>
      </c>
      <c r="B160" s="110"/>
      <c r="C160" s="180">
        <v>5010214001</v>
      </c>
      <c r="D160" s="416">
        <f>IFERROR(VLOOKUP(C160,'tb control'!$C$10:$D$277,2,FALSE),0)</f>
        <v>4722151.95</v>
      </c>
      <c r="E160" s="420">
        <f>IFERROR(VLOOKUP(C160,'tb control'!$C$10:$E$277,3,FALSE),0)</f>
        <v>0</v>
      </c>
      <c r="F160" s="98">
        <f t="shared" si="2"/>
        <v>4722151.95</v>
      </c>
      <c r="G160" s="97"/>
      <c r="H160" s="97"/>
      <c r="I160" s="97"/>
      <c r="N160" s="97"/>
      <c r="O160" s="97"/>
      <c r="P160" s="97"/>
      <c r="Q160" s="97"/>
      <c r="S160" s="97"/>
      <c r="T160" s="86"/>
      <c r="U160" s="97"/>
      <c r="V160" s="97"/>
      <c r="W160" s="97"/>
      <c r="X160" s="97"/>
      <c r="Y160" s="97"/>
      <c r="AA160" s="86"/>
    </row>
    <row r="161" spans="1:27" s="101" customFormat="1" x14ac:dyDescent="0.25">
      <c r="A161" s="183" t="s">
        <v>41</v>
      </c>
      <c r="B161" s="110"/>
      <c r="C161" s="180">
        <v>5010215001</v>
      </c>
      <c r="D161" s="416">
        <f>IFERROR(VLOOKUP(C161,'tb control'!$C$10:$D$277,2,FALSE),0)</f>
        <v>635000</v>
      </c>
      <c r="E161" s="420">
        <f>IFERROR(VLOOKUP(C161,'tb control'!$C$10:$E$277,3,FALSE),0)</f>
        <v>0</v>
      </c>
      <c r="F161" s="98">
        <f t="shared" si="2"/>
        <v>635000</v>
      </c>
      <c r="G161" s="97"/>
      <c r="H161" s="97"/>
      <c r="I161" s="97"/>
      <c r="N161" s="97"/>
      <c r="O161" s="97"/>
      <c r="P161" s="97"/>
      <c r="Q161" s="97"/>
      <c r="S161" s="97"/>
      <c r="T161" s="86"/>
      <c r="U161" s="97"/>
      <c r="V161" s="97"/>
      <c r="W161" s="97"/>
      <c r="X161" s="97"/>
      <c r="Y161" s="97"/>
      <c r="AA161" s="86"/>
    </row>
    <row r="162" spans="1:27" s="101" customFormat="1" x14ac:dyDescent="0.25">
      <c r="A162" s="183" t="s">
        <v>133</v>
      </c>
      <c r="B162" s="110"/>
      <c r="C162" s="180">
        <v>5010299011</v>
      </c>
      <c r="D162" s="416">
        <f>IFERROR(VLOOKUP(C162,'tb control'!$C$10:$D$277,2,FALSE),0)</f>
        <v>39625631.82</v>
      </c>
      <c r="E162" s="420">
        <f>IFERROR(VLOOKUP(C162,'tb control'!$C$10:$E$277,3,FALSE),0)</f>
        <v>0</v>
      </c>
      <c r="F162" s="98">
        <f t="shared" si="2"/>
        <v>39625631.82</v>
      </c>
      <c r="G162" s="97"/>
      <c r="H162" s="97"/>
      <c r="I162" s="97"/>
      <c r="N162" s="97"/>
      <c r="O162" s="97"/>
      <c r="P162" s="97"/>
      <c r="Q162" s="97"/>
      <c r="S162" s="97"/>
      <c r="T162" s="86"/>
      <c r="U162" s="97"/>
      <c r="V162" s="97"/>
      <c r="W162" s="97"/>
      <c r="X162" s="97"/>
      <c r="Y162" s="97"/>
      <c r="AA162" s="86"/>
    </row>
    <row r="163" spans="1:27" s="101" customFormat="1" ht="16.5" customHeight="1" x14ac:dyDescent="0.25">
      <c r="A163" s="183" t="s">
        <v>134</v>
      </c>
      <c r="B163" s="110"/>
      <c r="C163" s="180">
        <v>5010299012</v>
      </c>
      <c r="D163" s="416">
        <f>IFERROR(VLOOKUP(C163,'tb control'!$C$10:$D$277,2,FALSE),0)</f>
        <v>641000</v>
      </c>
      <c r="E163" s="420">
        <f>IFERROR(VLOOKUP(C163,'tb control'!$C$10:$E$277,3,FALSE),0)</f>
        <v>0</v>
      </c>
      <c r="F163" s="98">
        <f t="shared" si="2"/>
        <v>641000</v>
      </c>
      <c r="G163" s="97"/>
      <c r="H163" s="97"/>
      <c r="I163" s="97"/>
      <c r="N163" s="97"/>
      <c r="O163" s="97"/>
      <c r="P163" s="97"/>
      <c r="Q163" s="97"/>
      <c r="S163" s="97"/>
      <c r="T163" s="86"/>
      <c r="U163" s="97"/>
      <c r="V163" s="97"/>
      <c r="W163" s="97"/>
      <c r="X163" s="97"/>
      <c r="Y163" s="97"/>
      <c r="AA163" s="86"/>
    </row>
    <row r="164" spans="1:27" s="101" customFormat="1" ht="16.5" customHeight="1" x14ac:dyDescent="0.25">
      <c r="A164" s="183" t="s">
        <v>135</v>
      </c>
      <c r="B164" s="110"/>
      <c r="C164" s="180">
        <v>5010299014</v>
      </c>
      <c r="D164" s="416">
        <f>IFERROR(VLOOKUP(C164,'tb control'!$C$10:$D$277,2,FALSE),0)</f>
        <v>15619337.939999999</v>
      </c>
      <c r="E164" s="420">
        <f>IFERROR(VLOOKUP(C164,'tb control'!$C$10:$E$277,3,FALSE),0)</f>
        <v>0</v>
      </c>
      <c r="F164" s="98">
        <f t="shared" si="2"/>
        <v>15619337.939999999</v>
      </c>
      <c r="G164" s="97"/>
      <c r="H164" s="97"/>
      <c r="I164" s="97"/>
      <c r="N164" s="97"/>
      <c r="O164" s="97"/>
      <c r="P164" s="97"/>
      <c r="Q164" s="97"/>
      <c r="S164" s="97"/>
      <c r="T164" s="86"/>
      <c r="U164" s="97"/>
      <c r="V164" s="97"/>
      <c r="W164" s="97"/>
      <c r="X164" s="97"/>
      <c r="Y164" s="97"/>
      <c r="AA164" s="86"/>
    </row>
    <row r="165" spans="1:27" s="101" customFormat="1" x14ac:dyDescent="0.25">
      <c r="A165" s="183" t="s">
        <v>403</v>
      </c>
      <c r="B165" s="110"/>
      <c r="C165" s="180">
        <v>5010216001</v>
      </c>
      <c r="D165" s="416">
        <f>IFERROR(VLOOKUP(C165,'tb control'!$C$10:$D$277,2,FALSE),0)</f>
        <v>4628561</v>
      </c>
      <c r="E165" s="420">
        <f>IFERROR(VLOOKUP(C165,'tb control'!$C$10:$E$277,3,FALSE),0)</f>
        <v>0</v>
      </c>
      <c r="F165" s="98">
        <f t="shared" si="2"/>
        <v>4628561</v>
      </c>
      <c r="G165" s="97"/>
      <c r="H165" s="97"/>
      <c r="I165" s="97"/>
      <c r="N165" s="97"/>
      <c r="O165" s="97"/>
      <c r="P165" s="97"/>
      <c r="Q165" s="97"/>
      <c r="S165" s="97"/>
      <c r="T165" s="86"/>
      <c r="U165" s="97"/>
      <c r="V165" s="97"/>
      <c r="W165" s="97"/>
      <c r="X165" s="97"/>
      <c r="Y165" s="97"/>
      <c r="AA165" s="86"/>
    </row>
    <row r="166" spans="1:27" s="101" customFormat="1" hidden="1" x14ac:dyDescent="0.25">
      <c r="A166" s="183" t="s">
        <v>404</v>
      </c>
      <c r="B166" s="110"/>
      <c r="C166" s="180">
        <v>5010299038</v>
      </c>
      <c r="D166" s="416">
        <f>IFERROR(VLOOKUP(C166,'tb control'!$C$10:$D$277,2,FALSE),0)</f>
        <v>0</v>
      </c>
      <c r="E166" s="420">
        <f>IFERROR(VLOOKUP(C166,'tb control'!$C$10:$E$277,3,FALSE),0)</f>
        <v>0</v>
      </c>
      <c r="F166" s="98">
        <f t="shared" si="2"/>
        <v>0</v>
      </c>
      <c r="G166" s="97"/>
      <c r="H166" s="97"/>
      <c r="I166" s="97"/>
      <c r="N166" s="97"/>
      <c r="O166" s="97"/>
      <c r="P166" s="97"/>
      <c r="Q166" s="97"/>
      <c r="S166" s="97"/>
      <c r="T166" s="86"/>
      <c r="U166" s="97"/>
      <c r="V166" s="97"/>
      <c r="W166" s="97"/>
      <c r="X166" s="97"/>
      <c r="Y166" s="97"/>
      <c r="AA166" s="86"/>
    </row>
    <row r="167" spans="1:27" s="101" customFormat="1" x14ac:dyDescent="0.25">
      <c r="A167" s="183" t="s">
        <v>212</v>
      </c>
      <c r="B167" s="110"/>
      <c r="C167" s="180">
        <v>5010301000</v>
      </c>
      <c r="D167" s="416">
        <f>IFERROR(VLOOKUP(C167,'tb control'!$C$10:$D$277,2,FALSE),0)</f>
        <v>7223768.71</v>
      </c>
      <c r="E167" s="420">
        <f>IFERROR(VLOOKUP(C167,'tb control'!$C$10:$E$277,3,FALSE),0)</f>
        <v>0</v>
      </c>
      <c r="F167" s="98">
        <f t="shared" si="2"/>
        <v>7223768.71</v>
      </c>
      <c r="G167" s="97"/>
      <c r="H167" s="97"/>
      <c r="I167" s="97"/>
      <c r="N167" s="97"/>
      <c r="O167" s="97"/>
      <c r="P167" s="97"/>
      <c r="Q167" s="97"/>
      <c r="S167" s="97"/>
      <c r="T167" s="86"/>
      <c r="U167" s="97"/>
      <c r="V167" s="97"/>
      <c r="W167" s="97"/>
      <c r="X167" s="97"/>
      <c r="Y167" s="97"/>
      <c r="AA167" s="86"/>
    </row>
    <row r="168" spans="1:27" s="101" customFormat="1" x14ac:dyDescent="0.25">
      <c r="A168" s="183" t="s">
        <v>138</v>
      </c>
      <c r="B168" s="110"/>
      <c r="C168" s="180">
        <v>5010302001</v>
      </c>
      <c r="D168" s="416">
        <f>IFERROR(VLOOKUP(C168,'tb control'!$C$10:$D$277,2,FALSE),0)</f>
        <v>267600</v>
      </c>
      <c r="E168" s="420">
        <f>IFERROR(VLOOKUP(C168,'tb control'!$C$10:$E$277,3,FALSE),0)</f>
        <v>0</v>
      </c>
      <c r="F168" s="98">
        <f t="shared" si="2"/>
        <v>267600</v>
      </c>
      <c r="G168" s="97"/>
      <c r="H168" s="97"/>
      <c r="I168" s="97"/>
      <c r="N168" s="97"/>
      <c r="O168" s="97"/>
      <c r="P168" s="97"/>
      <c r="Q168" s="97"/>
      <c r="S168" s="97"/>
      <c r="T168" s="86"/>
      <c r="U168" s="97"/>
      <c r="V168" s="97"/>
      <c r="W168" s="97"/>
      <c r="X168" s="97"/>
      <c r="Y168" s="97"/>
      <c r="AA168" s="86"/>
    </row>
    <row r="169" spans="1:27" s="101" customFormat="1" x14ac:dyDescent="0.25">
      <c r="A169" s="183" t="s">
        <v>139</v>
      </c>
      <c r="B169" s="110"/>
      <c r="C169" s="180">
        <v>5010303001</v>
      </c>
      <c r="D169" s="416">
        <f>IFERROR(VLOOKUP(C169,'tb control'!$C$10:$D$277,2,FALSE),0)</f>
        <v>1402493.36</v>
      </c>
      <c r="E169" s="420">
        <f>IFERROR(VLOOKUP(C169,'tb control'!$C$10:$E$277,3,FALSE),0)</f>
        <v>0</v>
      </c>
      <c r="F169" s="98">
        <f t="shared" si="2"/>
        <v>1402493.36</v>
      </c>
      <c r="G169" s="97"/>
      <c r="H169" s="97"/>
      <c r="I169" s="97"/>
      <c r="N169" s="97"/>
      <c r="O169" s="97"/>
      <c r="P169" s="97"/>
      <c r="Q169" s="97"/>
      <c r="S169" s="97"/>
      <c r="T169" s="86"/>
      <c r="U169" s="97"/>
      <c r="V169" s="97"/>
      <c r="W169" s="97"/>
      <c r="X169" s="97"/>
      <c r="Y169" s="97"/>
      <c r="AA169" s="86"/>
    </row>
    <row r="170" spans="1:27" s="101" customFormat="1" ht="16.5" customHeight="1" x14ac:dyDescent="0.25">
      <c r="A170" s="183" t="s">
        <v>140</v>
      </c>
      <c r="B170" s="110"/>
      <c r="C170" s="180">
        <v>5010304001</v>
      </c>
      <c r="D170" s="416">
        <f>IFERROR(VLOOKUP(C170,'tb control'!$C$10:$D$277,2,FALSE),0)</f>
        <v>160390.73000000001</v>
      </c>
      <c r="E170" s="420">
        <f>IFERROR(VLOOKUP(C170,'tb control'!$C$10:$E$277,3,FALSE),0)</f>
        <v>0</v>
      </c>
      <c r="F170" s="98">
        <f t="shared" si="2"/>
        <v>160390.73000000001</v>
      </c>
      <c r="G170" s="97"/>
      <c r="H170" s="97"/>
      <c r="I170" s="97"/>
      <c r="N170" s="97"/>
      <c r="O170" s="97"/>
      <c r="P170" s="97"/>
      <c r="Q170" s="97"/>
      <c r="S170" s="97"/>
      <c r="T170" s="86"/>
      <c r="U170" s="97"/>
      <c r="V170" s="97"/>
      <c r="W170" s="97"/>
      <c r="X170" s="97"/>
      <c r="Y170" s="97"/>
      <c r="AA170" s="86"/>
    </row>
    <row r="171" spans="1:27" s="101" customFormat="1" ht="16.5" hidden="1" customHeight="1" x14ac:dyDescent="0.25">
      <c r="A171" s="183" t="s">
        <v>141</v>
      </c>
      <c r="B171" s="110"/>
      <c r="C171" s="180">
        <v>5010401001</v>
      </c>
      <c r="D171" s="416">
        <f>IFERROR(VLOOKUP(C171,'tb control'!$C$10:$D$277,2,FALSE),0)</f>
        <v>0</v>
      </c>
      <c r="E171" s="420">
        <f>IFERROR(VLOOKUP(C171,'tb control'!$C$10:$E$277,3,FALSE),0)</f>
        <v>0</v>
      </c>
      <c r="F171" s="98">
        <f t="shared" si="2"/>
        <v>0</v>
      </c>
      <c r="G171" s="97"/>
      <c r="H171" s="97"/>
      <c r="I171" s="97"/>
      <c r="N171" s="97"/>
      <c r="O171" s="97"/>
      <c r="P171" s="97"/>
      <c r="Q171" s="97"/>
      <c r="S171" s="97"/>
      <c r="T171" s="86"/>
      <c r="U171" s="97"/>
      <c r="V171" s="97"/>
      <c r="W171" s="97"/>
      <c r="X171" s="97"/>
      <c r="Y171" s="97"/>
      <c r="AA171" s="86"/>
    </row>
    <row r="172" spans="1:27" s="101" customFormat="1" ht="16.5" hidden="1" customHeight="1" x14ac:dyDescent="0.25">
      <c r="A172" s="183" t="s">
        <v>142</v>
      </c>
      <c r="B172" s="110"/>
      <c r="C172" s="180">
        <v>5010402001</v>
      </c>
      <c r="D172" s="416">
        <f>IFERROR(VLOOKUP(C172,'tb control'!$C$10:$D$277,2,FALSE),0)</f>
        <v>0</v>
      </c>
      <c r="E172" s="420">
        <f>IFERROR(VLOOKUP(C172,'tb control'!$C$10:$E$277,3,FALSE),0)</f>
        <v>0</v>
      </c>
      <c r="F172" s="98">
        <f t="shared" si="2"/>
        <v>0</v>
      </c>
      <c r="G172" s="97"/>
      <c r="H172" s="97"/>
      <c r="I172" s="97"/>
      <c r="N172" s="97"/>
      <c r="O172" s="97"/>
      <c r="P172" s="97"/>
      <c r="Q172" s="97"/>
      <c r="S172" s="97"/>
      <c r="T172" s="86"/>
      <c r="U172" s="97"/>
      <c r="V172" s="97"/>
      <c r="W172" s="97"/>
      <c r="X172" s="97"/>
      <c r="Y172" s="97"/>
      <c r="AA172" s="86"/>
    </row>
    <row r="173" spans="1:27" s="101" customFormat="1" ht="16.5" customHeight="1" x14ac:dyDescent="0.25">
      <c r="A173" s="183" t="s">
        <v>143</v>
      </c>
      <c r="B173" s="110"/>
      <c r="C173" s="180">
        <v>5010403001</v>
      </c>
      <c r="D173" s="416">
        <f>IFERROR(VLOOKUP(C173,'tb control'!$C$10:$D$277,2,FALSE),0)</f>
        <v>3995588.92</v>
      </c>
      <c r="E173" s="420">
        <f>IFERROR(VLOOKUP(C173,'tb control'!$C$10:$E$277,3,FALSE),0)</f>
        <v>0</v>
      </c>
      <c r="F173" s="98">
        <f t="shared" si="2"/>
        <v>3995588.92</v>
      </c>
      <c r="G173" s="97"/>
      <c r="H173" s="97"/>
      <c r="I173" s="97"/>
      <c r="N173" s="97"/>
      <c r="O173" s="97"/>
      <c r="P173" s="97"/>
      <c r="Q173" s="97"/>
      <c r="S173" s="97"/>
      <c r="T173" s="86"/>
      <c r="U173" s="97"/>
      <c r="V173" s="97"/>
      <c r="W173" s="97"/>
      <c r="X173" s="97"/>
      <c r="Y173" s="97"/>
      <c r="AA173" s="86"/>
    </row>
    <row r="174" spans="1:27" s="101" customFormat="1" ht="16.5" customHeight="1" x14ac:dyDescent="0.25">
      <c r="A174" s="183" t="s">
        <v>379</v>
      </c>
      <c r="B174" s="110"/>
      <c r="C174" s="180">
        <v>5010499010</v>
      </c>
      <c r="D174" s="416">
        <f>IFERROR(VLOOKUP(C174,'tb control'!$C$10:$D$277,2,FALSE),0)</f>
        <v>768.99</v>
      </c>
      <c r="E174" s="420">
        <f>IFERROR(VLOOKUP(C174,'tb control'!$C$10:$E$277,3,FALSE),0)</f>
        <v>0</v>
      </c>
      <c r="F174" s="98">
        <f t="shared" si="2"/>
        <v>768.99</v>
      </c>
      <c r="G174" s="97"/>
      <c r="H174" s="97"/>
      <c r="I174" s="97"/>
      <c r="N174" s="97"/>
      <c r="O174" s="97"/>
      <c r="P174" s="97"/>
      <c r="Q174" s="97"/>
      <c r="S174" s="97"/>
      <c r="T174" s="86"/>
      <c r="U174" s="97"/>
      <c r="V174" s="97"/>
      <c r="W174" s="97"/>
      <c r="X174" s="97"/>
      <c r="Y174" s="97"/>
      <c r="AA174" s="86"/>
    </row>
    <row r="175" spans="1:27" s="101" customFormat="1" ht="16.5" hidden="1" customHeight="1" x14ac:dyDescent="0.25">
      <c r="A175" s="183" t="s">
        <v>467</v>
      </c>
      <c r="B175" s="110">
        <v>5010499011</v>
      </c>
      <c r="C175" s="180">
        <v>5010499011</v>
      </c>
      <c r="D175" s="416">
        <f>IFERROR(VLOOKUP(C175,'tb control'!$C$10:$D$277,2,FALSE),0)</f>
        <v>0</v>
      </c>
      <c r="E175" s="420">
        <f>IFERROR(VLOOKUP(C175,'tb control'!$C$10:$E$277,3,FALSE),0)</f>
        <v>0</v>
      </c>
      <c r="F175" s="98">
        <f t="shared" si="2"/>
        <v>0</v>
      </c>
      <c r="G175" s="97"/>
      <c r="H175" s="97"/>
      <c r="I175" s="97"/>
      <c r="N175" s="97"/>
      <c r="O175" s="97"/>
      <c r="P175" s="97"/>
      <c r="Q175" s="97"/>
      <c r="S175" s="97"/>
      <c r="T175" s="86"/>
      <c r="U175" s="97"/>
      <c r="V175" s="97"/>
      <c r="W175" s="97"/>
      <c r="X175" s="97"/>
      <c r="Y175" s="97"/>
      <c r="AA175" s="86"/>
    </row>
    <row r="176" spans="1:27" hidden="1" x14ac:dyDescent="0.25">
      <c r="A176" s="183" t="s">
        <v>382</v>
      </c>
      <c r="B176" s="110"/>
      <c r="C176" s="180">
        <v>5010499015</v>
      </c>
      <c r="D176" s="416">
        <f>IFERROR(VLOOKUP(C176,'tb control'!$C$10:$D$277,2,FALSE),0)</f>
        <v>0</v>
      </c>
      <c r="E176" s="420">
        <f>IFERROR(VLOOKUP(C176,'tb control'!$C$10:$E$277,3,FALSE),0)</f>
        <v>0</v>
      </c>
      <c r="F176" s="98">
        <f t="shared" si="2"/>
        <v>0</v>
      </c>
      <c r="G176" s="86"/>
      <c r="S176" s="86"/>
      <c r="T176" s="86"/>
      <c r="AA176" s="86"/>
    </row>
    <row r="177" spans="1:27" x14ac:dyDescent="0.25">
      <c r="A177" s="183" t="s">
        <v>405</v>
      </c>
      <c r="B177" s="110"/>
      <c r="C177" s="180">
        <v>5010499099</v>
      </c>
      <c r="D177" s="416">
        <f>IFERROR(VLOOKUP(C177,'tb control'!$C$10:$D$277,2,FALSE),0)</f>
        <v>25633298.41</v>
      </c>
      <c r="E177" s="420">
        <f>IFERROR(VLOOKUP(C177,'tb control'!$C$10:$E$277,3,FALSE),0)</f>
        <v>0</v>
      </c>
      <c r="F177" s="98">
        <f t="shared" si="2"/>
        <v>25633298.41</v>
      </c>
      <c r="G177" s="86"/>
      <c r="S177" s="86"/>
      <c r="T177" s="86"/>
      <c r="AA177" s="86"/>
    </row>
    <row r="178" spans="1:27" ht="16.5" customHeight="1" x14ac:dyDescent="0.25">
      <c r="A178" s="183" t="s">
        <v>42</v>
      </c>
      <c r="B178" s="110"/>
      <c r="C178" s="180">
        <v>5020101000</v>
      </c>
      <c r="D178" s="416">
        <f>IFERROR(VLOOKUP(C178,'tb control'!$C$10:$D$277,2,FALSE),0)</f>
        <v>119420122.43000001</v>
      </c>
      <c r="E178" s="420">
        <f>IFERROR(VLOOKUP(C178,'tb control'!$C$10:$E$277,3,FALSE),0)</f>
        <v>0</v>
      </c>
      <c r="F178" s="98">
        <f t="shared" si="2"/>
        <v>119420122.43000001</v>
      </c>
      <c r="G178" s="86"/>
      <c r="S178" s="86"/>
      <c r="T178" s="86"/>
      <c r="AA178" s="86"/>
    </row>
    <row r="179" spans="1:27" x14ac:dyDescent="0.25">
      <c r="A179" s="183" t="s">
        <v>43</v>
      </c>
      <c r="B179" s="110"/>
      <c r="C179" s="180">
        <v>5020201002</v>
      </c>
      <c r="D179" s="416">
        <f>IFERROR(VLOOKUP(C179,'tb control'!$C$10:$D$277,2,FALSE),0)</f>
        <v>55953748.490000002</v>
      </c>
      <c r="E179" s="420">
        <f>IFERROR(VLOOKUP(C179,'tb control'!$C$10:$E$277,3,FALSE),0)</f>
        <v>0</v>
      </c>
      <c r="F179" s="98">
        <f t="shared" si="2"/>
        <v>55953748.490000002</v>
      </c>
      <c r="G179" s="86"/>
      <c r="S179" s="86"/>
      <c r="T179" s="86"/>
      <c r="AA179" s="86"/>
    </row>
    <row r="180" spans="1:27" s="86" customFormat="1" x14ac:dyDescent="0.25">
      <c r="A180" s="183" t="s">
        <v>44</v>
      </c>
      <c r="B180" s="110"/>
      <c r="C180" s="180">
        <v>5020202000</v>
      </c>
      <c r="D180" s="416">
        <f>IFERROR(VLOOKUP(C180,'tb control'!$C$10:$D$277,2,FALSE),0)</f>
        <v>82270.31</v>
      </c>
      <c r="E180" s="420">
        <f>IFERROR(VLOOKUP(C180,'tb control'!$C$10:$E$277,3,FALSE),0)</f>
        <v>0</v>
      </c>
      <c r="F180" s="98">
        <f t="shared" si="2"/>
        <v>82270.31</v>
      </c>
      <c r="J180" s="85"/>
      <c r="K180" s="85"/>
      <c r="L180" s="85"/>
      <c r="M180" s="85"/>
      <c r="R180" s="85"/>
    </row>
    <row r="181" spans="1:27" s="86" customFormat="1" x14ac:dyDescent="0.25">
      <c r="A181" s="183" t="s">
        <v>413</v>
      </c>
      <c r="B181" s="110"/>
      <c r="C181" s="180">
        <v>5020301001</v>
      </c>
      <c r="D181" s="416">
        <f>IFERROR(VLOOKUP(C181,'tb control'!$C$10:$D$277,2,FALSE),0)</f>
        <v>30393.09</v>
      </c>
      <c r="E181" s="420">
        <f>IFERROR(VLOOKUP(C181,'tb control'!$C$10:$E$277,3,FALSE),0)</f>
        <v>0</v>
      </c>
      <c r="F181" s="98">
        <f t="shared" si="2"/>
        <v>30393.09</v>
      </c>
      <c r="J181" s="85"/>
      <c r="K181" s="85"/>
      <c r="L181" s="85"/>
      <c r="M181" s="85"/>
      <c r="R181" s="85"/>
    </row>
    <row r="182" spans="1:27" s="86" customFormat="1" x14ac:dyDescent="0.25">
      <c r="A182" s="183" t="s">
        <v>45</v>
      </c>
      <c r="B182" s="110"/>
      <c r="C182" s="180">
        <v>5020301002</v>
      </c>
      <c r="D182" s="416">
        <f>IFERROR(VLOOKUP(C182,'tb control'!$C$10:$D$277,2,FALSE),0)</f>
        <v>14101842.76</v>
      </c>
      <c r="E182" s="420">
        <f>IFERROR(VLOOKUP(C182,'tb control'!$C$10:$E$277,3,FALSE),0)</f>
        <v>0</v>
      </c>
      <c r="F182" s="98">
        <f t="shared" si="2"/>
        <v>14101842.76</v>
      </c>
      <c r="J182" s="85"/>
      <c r="K182" s="85"/>
      <c r="L182" s="85"/>
      <c r="M182" s="85"/>
      <c r="R182" s="85"/>
    </row>
    <row r="183" spans="1:27" s="86" customFormat="1" hidden="1" x14ac:dyDescent="0.25">
      <c r="A183" s="183" t="s">
        <v>46</v>
      </c>
      <c r="B183" s="110"/>
      <c r="C183" s="180">
        <v>5020302000</v>
      </c>
      <c r="D183" s="416">
        <f>IFERROR(VLOOKUP(C183,'tb control'!$C$10:$D$277,2,FALSE),0)</f>
        <v>0</v>
      </c>
      <c r="E183" s="420">
        <f>IFERROR(VLOOKUP(C183,'tb control'!$C$10:$E$277,3,FALSE),0)</f>
        <v>0</v>
      </c>
      <c r="F183" s="98">
        <f t="shared" si="2"/>
        <v>0</v>
      </c>
      <c r="J183" s="85"/>
      <c r="K183" s="85"/>
      <c r="L183" s="85"/>
      <c r="M183" s="85"/>
      <c r="R183" s="85"/>
    </row>
    <row r="184" spans="1:27" s="86" customFormat="1" x14ac:dyDescent="0.25">
      <c r="A184" s="183" t="s">
        <v>47</v>
      </c>
      <c r="B184" s="110"/>
      <c r="C184" s="180">
        <v>5020305000</v>
      </c>
      <c r="D184" s="416">
        <f>IFERROR(VLOOKUP(C184,'tb control'!$C$10:$D$277,2,FALSE),0)</f>
        <v>8129340.6900000004</v>
      </c>
      <c r="E184" s="420">
        <f>IFERROR(VLOOKUP(C184,'tb control'!$C$10:$E$277,3,FALSE),0)</f>
        <v>0</v>
      </c>
      <c r="F184" s="98">
        <f t="shared" si="2"/>
        <v>8129340.6900000004</v>
      </c>
      <c r="J184" s="85"/>
      <c r="K184" s="85"/>
      <c r="L184" s="85"/>
      <c r="M184" s="85"/>
      <c r="R184" s="85"/>
    </row>
    <row r="185" spans="1:27" s="86" customFormat="1" x14ac:dyDescent="0.25">
      <c r="A185" s="183" t="s">
        <v>144</v>
      </c>
      <c r="B185" s="110"/>
      <c r="C185" s="180">
        <v>5020306000</v>
      </c>
      <c r="D185" s="416">
        <f>IFERROR(VLOOKUP(C185,'tb control'!$C$10:$D$277,2,FALSE),0)</f>
        <v>144855422.09</v>
      </c>
      <c r="E185" s="420">
        <f>IFERROR(VLOOKUP(C185,'tb control'!$C$10:$E$277,3,FALSE),0)</f>
        <v>0</v>
      </c>
      <c r="F185" s="98">
        <f t="shared" si="2"/>
        <v>144855422.09</v>
      </c>
      <c r="J185" s="85"/>
      <c r="K185" s="85"/>
      <c r="L185" s="85"/>
      <c r="M185" s="85"/>
      <c r="R185" s="85"/>
    </row>
    <row r="186" spans="1:27" s="86" customFormat="1" x14ac:dyDescent="0.25">
      <c r="A186" s="183" t="s">
        <v>48</v>
      </c>
      <c r="B186" s="110"/>
      <c r="C186" s="180">
        <v>5020307000</v>
      </c>
      <c r="D186" s="416">
        <f>IFERROR(VLOOKUP(C186,'tb control'!$C$10:$D$277,2,FALSE),0)</f>
        <v>495141.61</v>
      </c>
      <c r="E186" s="420">
        <f>IFERROR(VLOOKUP(C186,'tb control'!$C$10:$E$277,3,FALSE),0)</f>
        <v>0</v>
      </c>
      <c r="F186" s="98">
        <f t="shared" si="2"/>
        <v>495141.61</v>
      </c>
      <c r="J186" s="85"/>
      <c r="K186" s="85"/>
      <c r="L186" s="85"/>
      <c r="M186" s="85"/>
      <c r="R186" s="85"/>
    </row>
    <row r="187" spans="1:27" s="86" customFormat="1" x14ac:dyDescent="0.25">
      <c r="A187" s="183" t="s">
        <v>49</v>
      </c>
      <c r="B187" s="110"/>
      <c r="C187" s="180">
        <v>5020308000</v>
      </c>
      <c r="D187" s="416">
        <f>IFERROR(VLOOKUP(C187,'tb control'!$C$10:$D$277,2,FALSE),0)</f>
        <v>727583.91</v>
      </c>
      <c r="E187" s="420">
        <f>IFERROR(VLOOKUP(C187,'tb control'!$C$10:$E$277,3,FALSE),0)</f>
        <v>0</v>
      </c>
      <c r="F187" s="98">
        <f t="shared" si="2"/>
        <v>727583.91</v>
      </c>
      <c r="J187" s="85"/>
      <c r="K187" s="85"/>
      <c r="L187" s="85"/>
      <c r="M187" s="85"/>
      <c r="R187" s="85"/>
    </row>
    <row r="188" spans="1:27" s="86" customFormat="1" x14ac:dyDescent="0.25">
      <c r="A188" s="183" t="s">
        <v>145</v>
      </c>
      <c r="B188" s="110"/>
      <c r="C188" s="180">
        <v>5020309000</v>
      </c>
      <c r="D188" s="416">
        <f>IFERROR(VLOOKUP(C188,'tb control'!$C$10:$D$277,2,FALSE),0)</f>
        <v>5576457.21</v>
      </c>
      <c r="E188" s="420">
        <f>IFERROR(VLOOKUP(C188,'tb control'!$C$10:$E$277,3,FALSE),0)</f>
        <v>0</v>
      </c>
      <c r="F188" s="98">
        <f t="shared" si="2"/>
        <v>5576457.21</v>
      </c>
      <c r="J188" s="85"/>
      <c r="K188" s="85"/>
      <c r="L188" s="85"/>
      <c r="M188" s="85"/>
      <c r="R188" s="85"/>
    </row>
    <row r="189" spans="1:27" s="86" customFormat="1" ht="31.5" x14ac:dyDescent="0.25">
      <c r="A189" s="183" t="s">
        <v>380</v>
      </c>
      <c r="B189" s="110"/>
      <c r="C189" s="180">
        <v>5020321001</v>
      </c>
      <c r="D189" s="416">
        <f>IFERROR(VLOOKUP(C189,'tb control'!$C$10:$D$277,2,FALSE),0)</f>
        <v>164930</v>
      </c>
      <c r="E189" s="420">
        <f>IFERROR(VLOOKUP(C189,'tb control'!$C$10:$E$277,3,FALSE),0)</f>
        <v>0</v>
      </c>
      <c r="F189" s="98">
        <f t="shared" si="2"/>
        <v>164930</v>
      </c>
      <c r="J189" s="85"/>
      <c r="K189" s="85"/>
      <c r="L189" s="85"/>
      <c r="M189" s="85"/>
      <c r="R189" s="85"/>
    </row>
    <row r="190" spans="1:27" s="86" customFormat="1" ht="31.5" x14ac:dyDescent="0.25">
      <c r="A190" s="183" t="s">
        <v>373</v>
      </c>
      <c r="B190" s="110"/>
      <c r="C190" s="180">
        <v>5020321002</v>
      </c>
      <c r="D190" s="416">
        <f>IFERROR(VLOOKUP(C190,'tb control'!$C$10:$D$277,2,FALSE),0)</f>
        <v>4111127.08</v>
      </c>
      <c r="E190" s="420">
        <f>IFERROR(VLOOKUP(C190,'tb control'!$C$10:$E$277,3,FALSE),0)</f>
        <v>0</v>
      </c>
      <c r="F190" s="98">
        <f t="shared" si="2"/>
        <v>4111127.08</v>
      </c>
      <c r="J190" s="85"/>
      <c r="K190" s="85"/>
      <c r="L190" s="85"/>
      <c r="M190" s="85"/>
      <c r="R190" s="85"/>
    </row>
    <row r="191" spans="1:27" s="86" customFormat="1" ht="31.5" x14ac:dyDescent="0.25">
      <c r="A191" s="183" t="s">
        <v>374</v>
      </c>
      <c r="B191" s="110"/>
      <c r="C191" s="180">
        <v>5020321007</v>
      </c>
      <c r="D191" s="416">
        <f>IFERROR(VLOOKUP(C191,'tb control'!$C$10:$D$277,2,FALSE),0)</f>
        <v>1804446.1</v>
      </c>
      <c r="E191" s="420">
        <f>IFERROR(VLOOKUP(C191,'tb control'!$C$10:$E$277,3,FALSE),0)</f>
        <v>0</v>
      </c>
      <c r="F191" s="98">
        <f t="shared" si="2"/>
        <v>1804446.1</v>
      </c>
      <c r="J191" s="85"/>
      <c r="K191" s="85"/>
      <c r="L191" s="85"/>
      <c r="M191" s="85"/>
      <c r="R191" s="85"/>
    </row>
    <row r="192" spans="1:27" s="86" customFormat="1" x14ac:dyDescent="0.25">
      <c r="A192" s="183" t="s">
        <v>372</v>
      </c>
      <c r="B192" s="110"/>
      <c r="C192" s="180">
        <v>5020321003</v>
      </c>
      <c r="D192" s="416">
        <f>IFERROR(VLOOKUP(C192,'tb control'!$C$10:$D$277,2,FALSE),0)</f>
        <v>42750707.810000002</v>
      </c>
      <c r="E192" s="420">
        <f>IFERROR(VLOOKUP(C192,'tb control'!$C$10:$E$277,3,FALSE),0)</f>
        <v>0</v>
      </c>
      <c r="F192" s="98">
        <f t="shared" si="2"/>
        <v>42750707.810000002</v>
      </c>
      <c r="J192" s="85"/>
      <c r="K192" s="85"/>
      <c r="L192" s="85"/>
      <c r="M192" s="85"/>
      <c r="R192" s="85"/>
    </row>
    <row r="193" spans="1:18" s="86" customFormat="1" ht="16.5" customHeight="1" x14ac:dyDescent="0.25">
      <c r="A193" s="183" t="s">
        <v>376</v>
      </c>
      <c r="B193" s="110"/>
      <c r="C193" s="180">
        <v>5020321010</v>
      </c>
      <c r="D193" s="416">
        <f>IFERROR(VLOOKUP(C193,'tb control'!$C$10:$D$277,2,FALSE),0)</f>
        <v>110468</v>
      </c>
      <c r="E193" s="420">
        <f>IFERROR(VLOOKUP(C193,'tb control'!$C$10:$E$277,3,FALSE),0)</f>
        <v>0</v>
      </c>
      <c r="F193" s="98">
        <f t="shared" si="2"/>
        <v>110468</v>
      </c>
      <c r="J193" s="85"/>
      <c r="K193" s="85"/>
      <c r="L193" s="85"/>
      <c r="M193" s="85"/>
      <c r="R193" s="85"/>
    </row>
    <row r="194" spans="1:18" s="86" customFormat="1" ht="16.5" customHeight="1" x14ac:dyDescent="0.25">
      <c r="A194" s="183" t="s">
        <v>503</v>
      </c>
      <c r="B194" s="110"/>
      <c r="C194" s="180">
        <v>5020321012</v>
      </c>
      <c r="D194" s="416">
        <f>IFERROR(VLOOKUP(C194,'tb control'!$C$10:$D$277,2,FALSE),0)</f>
        <v>293096.96999999997</v>
      </c>
      <c r="E194" s="420">
        <f>IFERROR(VLOOKUP(C194,'tb control'!$C$10:$E$277,3,FALSE),0)</f>
        <v>0</v>
      </c>
      <c r="F194" s="98">
        <f t="shared" si="2"/>
        <v>293096.96999999997</v>
      </c>
      <c r="J194" s="85"/>
      <c r="K194" s="85"/>
      <c r="L194" s="85"/>
      <c r="M194" s="85"/>
      <c r="R194" s="85"/>
    </row>
    <row r="195" spans="1:18" s="86" customFormat="1" ht="16.5" hidden="1" customHeight="1" x14ac:dyDescent="0.25">
      <c r="A195" s="183" t="s">
        <v>501</v>
      </c>
      <c r="B195" s="110">
        <v>5020321013</v>
      </c>
      <c r="C195" s="180">
        <v>5020321013</v>
      </c>
      <c r="D195" s="416">
        <f>IFERROR(VLOOKUP(C195,'tb control'!$C$10:$D$277,2,FALSE),0)</f>
        <v>0</v>
      </c>
      <c r="E195" s="420">
        <f>IFERROR(VLOOKUP(C195,'tb control'!$C$10:$E$277,3,FALSE),0)</f>
        <v>0</v>
      </c>
      <c r="F195" s="98">
        <f t="shared" si="2"/>
        <v>0</v>
      </c>
      <c r="J195" s="85"/>
      <c r="K195" s="85"/>
      <c r="L195" s="85"/>
      <c r="M195" s="85"/>
      <c r="R195" s="85"/>
    </row>
    <row r="196" spans="1:18" s="86" customFormat="1" x14ac:dyDescent="0.25">
      <c r="A196" s="95" t="s">
        <v>539</v>
      </c>
      <c r="B196" s="110"/>
      <c r="C196" s="180">
        <v>5020321099</v>
      </c>
      <c r="D196" s="416">
        <f>IFERROR(VLOOKUP(C196,'tb control'!$C$10:$D$277,2,FALSE),0)</f>
        <v>1541043.5</v>
      </c>
      <c r="E196" s="420">
        <f>IFERROR(VLOOKUP(C196,'tb control'!$C$10:$E$277,3,FALSE),0)</f>
        <v>0</v>
      </c>
      <c r="F196" s="98">
        <f t="shared" si="2"/>
        <v>1541043.5</v>
      </c>
      <c r="J196" s="85"/>
      <c r="K196" s="85"/>
      <c r="L196" s="85"/>
      <c r="M196" s="85"/>
      <c r="R196" s="85"/>
    </row>
    <row r="197" spans="1:18" s="86" customFormat="1" x14ac:dyDescent="0.25">
      <c r="A197" s="183" t="s">
        <v>375</v>
      </c>
      <c r="B197" s="110"/>
      <c r="C197" s="180">
        <v>5020322001</v>
      </c>
      <c r="D197" s="416">
        <f>IFERROR(VLOOKUP(C197,'tb control'!$C$10:$D$277,2,FALSE),0)</f>
        <v>5887842.0099999998</v>
      </c>
      <c r="E197" s="420">
        <f>IFERROR(VLOOKUP(C197,'tb control'!$C$10:$E$277,3,FALSE),0)</f>
        <v>0</v>
      </c>
      <c r="F197" s="98">
        <f t="shared" si="2"/>
        <v>5887842.0099999998</v>
      </c>
      <c r="J197" s="85"/>
      <c r="K197" s="85"/>
      <c r="L197" s="85"/>
      <c r="M197" s="85"/>
      <c r="R197" s="85"/>
    </row>
    <row r="198" spans="1:18" s="86" customFormat="1" x14ac:dyDescent="0.25">
      <c r="A198" s="183" t="s">
        <v>211</v>
      </c>
      <c r="B198" s="110"/>
      <c r="C198" s="180">
        <v>5020399000</v>
      </c>
      <c r="D198" s="416">
        <f>IFERROR(VLOOKUP(C198,'tb control'!$C$10:$D$277,2,FALSE),0)</f>
        <v>90351210.140000001</v>
      </c>
      <c r="E198" s="420">
        <f>IFERROR(VLOOKUP(C198,'tb control'!$C$10:$E$277,3,FALSE),0)</f>
        <v>0</v>
      </c>
      <c r="F198" s="98">
        <f t="shared" si="2"/>
        <v>90351210.140000001</v>
      </c>
      <c r="J198" s="85"/>
      <c r="K198" s="85"/>
      <c r="L198" s="85"/>
      <c r="M198" s="85"/>
      <c r="R198" s="85"/>
    </row>
    <row r="199" spans="1:18" s="86" customFormat="1" x14ac:dyDescent="0.25">
      <c r="A199" s="183" t="s">
        <v>51</v>
      </c>
      <c r="B199" s="110"/>
      <c r="C199" s="180">
        <v>5020401000</v>
      </c>
      <c r="D199" s="416">
        <f>IFERROR(VLOOKUP(C199,'tb control'!$C$10:$D$277,2,FALSE),0)</f>
        <v>1861114.27</v>
      </c>
      <c r="E199" s="420">
        <f>IFERROR(VLOOKUP(C199,'tb control'!$C$10:$E$277,3,FALSE),0)</f>
        <v>0</v>
      </c>
      <c r="F199" s="98">
        <f t="shared" si="2"/>
        <v>1861114.27</v>
      </c>
      <c r="J199" s="85"/>
      <c r="K199" s="85"/>
      <c r="L199" s="85"/>
      <c r="M199" s="85"/>
      <c r="R199" s="85"/>
    </row>
    <row r="200" spans="1:18" s="86" customFormat="1" x14ac:dyDescent="0.25">
      <c r="A200" s="183" t="s">
        <v>52</v>
      </c>
      <c r="B200" s="110"/>
      <c r="C200" s="180">
        <v>5020402000</v>
      </c>
      <c r="D200" s="416">
        <f>IFERROR(VLOOKUP(C200,'tb control'!$C$10:$D$277,2,FALSE),0)</f>
        <v>10320854.73</v>
      </c>
      <c r="E200" s="420">
        <f>IFERROR(VLOOKUP(C200,'tb control'!$C$10:$E$277,3,FALSE),0)</f>
        <v>0</v>
      </c>
      <c r="F200" s="98">
        <f t="shared" si="2"/>
        <v>10320854.73</v>
      </c>
      <c r="J200" s="85"/>
      <c r="K200" s="85"/>
      <c r="L200" s="85"/>
      <c r="M200" s="85"/>
      <c r="R200" s="85"/>
    </row>
    <row r="201" spans="1:18" s="86" customFormat="1" x14ac:dyDescent="0.25">
      <c r="A201" s="183" t="s">
        <v>406</v>
      </c>
      <c r="B201" s="110"/>
      <c r="C201" s="180">
        <v>5020501000</v>
      </c>
      <c r="D201" s="416">
        <f>IFERROR(VLOOKUP(C201,'tb control'!$C$10:$D$277,2,FALSE),0)</f>
        <v>388812</v>
      </c>
      <c r="E201" s="420">
        <f>IFERROR(VLOOKUP(C201,'tb control'!$C$10:$E$277,3,FALSE),0)</f>
        <v>0</v>
      </c>
      <c r="F201" s="98">
        <f t="shared" si="2"/>
        <v>388812</v>
      </c>
      <c r="J201" s="85"/>
      <c r="K201" s="85"/>
      <c r="L201" s="85"/>
      <c r="M201" s="85"/>
      <c r="R201" s="85"/>
    </row>
    <row r="202" spans="1:18" s="86" customFormat="1" x14ac:dyDescent="0.25">
      <c r="A202" s="183" t="s">
        <v>55</v>
      </c>
      <c r="B202" s="110"/>
      <c r="C202" s="180">
        <v>5020502001</v>
      </c>
      <c r="D202" s="416">
        <f>IFERROR(VLOOKUP(C202,'tb control'!$C$10:$D$277,2,FALSE),0)</f>
        <v>7953919.5099999998</v>
      </c>
      <c r="E202" s="420">
        <f>IFERROR(VLOOKUP(C202,'tb control'!$C$10:$E$277,3,FALSE),0)</f>
        <v>0</v>
      </c>
      <c r="F202" s="98">
        <f t="shared" si="2"/>
        <v>7953919.5099999998</v>
      </c>
      <c r="J202" s="85"/>
      <c r="K202" s="85"/>
      <c r="L202" s="85"/>
      <c r="M202" s="85"/>
      <c r="R202" s="85"/>
    </row>
    <row r="203" spans="1:18" s="86" customFormat="1" ht="18.75" customHeight="1" x14ac:dyDescent="0.25">
      <c r="A203" s="183" t="s">
        <v>54</v>
      </c>
      <c r="B203" s="110"/>
      <c r="C203" s="180">
        <v>5020502002</v>
      </c>
      <c r="D203" s="416">
        <f>IFERROR(VLOOKUP(C203,'tb control'!$C$10:$D$277,2,FALSE),0)</f>
        <v>23541.59</v>
      </c>
      <c r="E203" s="420">
        <f>IFERROR(VLOOKUP(C203,'tb control'!$C$10:$E$277,3,FALSE),0)</f>
        <v>0</v>
      </c>
      <c r="F203" s="98">
        <f t="shared" si="2"/>
        <v>23541.59</v>
      </c>
      <c r="J203" s="85"/>
      <c r="K203" s="85"/>
      <c r="L203" s="85"/>
      <c r="M203" s="85"/>
      <c r="R203" s="85"/>
    </row>
    <row r="204" spans="1:18" s="86" customFormat="1" x14ac:dyDescent="0.25">
      <c r="A204" s="183" t="s">
        <v>146</v>
      </c>
      <c r="B204" s="110"/>
      <c r="C204" s="180">
        <v>5020503000</v>
      </c>
      <c r="D204" s="416">
        <f>IFERROR(VLOOKUP(C204,'tb control'!$C$10:$D$277,2,FALSE),0)</f>
        <v>6280488.0999999996</v>
      </c>
      <c r="E204" s="420">
        <f>IFERROR(VLOOKUP(C204,'tb control'!$C$10:$E$277,3,FALSE),0)</f>
        <v>0</v>
      </c>
      <c r="F204" s="98">
        <f t="shared" si="2"/>
        <v>6280488.0999999996</v>
      </c>
      <c r="J204" s="85"/>
      <c r="K204" s="85"/>
      <c r="L204" s="85"/>
      <c r="M204" s="85"/>
      <c r="R204" s="85"/>
    </row>
    <row r="205" spans="1:18" s="86" customFormat="1" ht="16.5" customHeight="1" x14ac:dyDescent="0.25">
      <c r="A205" s="183" t="s">
        <v>56</v>
      </c>
      <c r="B205" s="110"/>
      <c r="C205" s="180">
        <v>5020504000</v>
      </c>
      <c r="D205" s="416">
        <f>IFERROR(VLOOKUP(C205,'tb control'!$C$10:$D$277,2,FALSE),0)</f>
        <v>4281</v>
      </c>
      <c r="E205" s="420">
        <f>IFERROR(VLOOKUP(C205,'tb control'!$C$10:$E$277,3,FALSE),0)</f>
        <v>0</v>
      </c>
      <c r="F205" s="98">
        <f t="shared" si="2"/>
        <v>4281</v>
      </c>
      <c r="J205" s="85"/>
      <c r="K205" s="85"/>
      <c r="L205" s="85"/>
      <c r="M205" s="85"/>
      <c r="R205" s="85"/>
    </row>
    <row r="206" spans="1:18" s="86" customFormat="1" ht="16.5" customHeight="1" x14ac:dyDescent="0.25">
      <c r="A206" s="284" t="s">
        <v>147</v>
      </c>
      <c r="B206" s="110"/>
      <c r="C206" s="180">
        <v>5020601001</v>
      </c>
      <c r="D206" s="416">
        <f>IFERROR(VLOOKUP(C206,'tb control'!$C$10:$D$277,2,FALSE),0)</f>
        <v>100000</v>
      </c>
      <c r="E206" s="420">
        <f>IFERROR(VLOOKUP(C206,'tb control'!$C$10:$E$277,3,FALSE),0)</f>
        <v>0</v>
      </c>
      <c r="F206" s="98">
        <f t="shared" si="2"/>
        <v>100000</v>
      </c>
      <c r="J206" s="85"/>
      <c r="K206" s="85"/>
      <c r="L206" s="85"/>
      <c r="M206" s="85"/>
      <c r="R206" s="85"/>
    </row>
    <row r="207" spans="1:18" s="86" customFormat="1" x14ac:dyDescent="0.25">
      <c r="A207" s="183" t="s">
        <v>210</v>
      </c>
      <c r="B207" s="110"/>
      <c r="C207" s="180">
        <v>5020602000</v>
      </c>
      <c r="D207" s="416">
        <f>IFERROR(VLOOKUP(C207,'tb control'!$C$10:$D$277,2,FALSE),0)</f>
        <v>11000</v>
      </c>
      <c r="E207" s="420">
        <f>IFERROR(VLOOKUP(C207,'tb control'!$C$10:$E$277,3,FALSE),0)</f>
        <v>0</v>
      </c>
      <c r="F207" s="98">
        <f t="shared" ref="F207:F273" si="3">D207+E207</f>
        <v>11000</v>
      </c>
      <c r="J207" s="85"/>
      <c r="K207" s="85"/>
      <c r="L207" s="85"/>
      <c r="M207" s="85"/>
      <c r="R207" s="85"/>
    </row>
    <row r="208" spans="1:18" s="86" customFormat="1" hidden="1" x14ac:dyDescent="0.25">
      <c r="A208" s="285" t="s">
        <v>209</v>
      </c>
      <c r="B208" s="110"/>
      <c r="C208" s="180">
        <v>5020901002</v>
      </c>
      <c r="D208" s="416">
        <f>IFERROR(VLOOKUP(C208,'tb control'!$C$10:$D$277,2,FALSE),0)</f>
        <v>0</v>
      </c>
      <c r="E208" s="420">
        <f>IFERROR(VLOOKUP(C208,'tb control'!$C$10:$E$277,3,FALSE),0)</f>
        <v>0</v>
      </c>
      <c r="F208" s="98">
        <f t="shared" si="3"/>
        <v>0</v>
      </c>
      <c r="J208" s="85"/>
      <c r="K208" s="85"/>
      <c r="L208" s="85"/>
      <c r="M208" s="85"/>
      <c r="R208" s="85"/>
    </row>
    <row r="209" spans="1:18" s="86" customFormat="1" x14ac:dyDescent="0.25">
      <c r="A209" s="183" t="s">
        <v>169</v>
      </c>
      <c r="B209" s="110"/>
      <c r="C209" s="180">
        <v>5021003000</v>
      </c>
      <c r="D209" s="416">
        <f>IFERROR(VLOOKUP(C209,'tb control'!$C$10:$D$277,2,FALSE),0)</f>
        <v>135600</v>
      </c>
      <c r="E209" s="420">
        <f>IFERROR(VLOOKUP(C209,'tb control'!$C$10:$E$277,3,FALSE),0)</f>
        <v>0</v>
      </c>
      <c r="F209" s="98">
        <f t="shared" si="3"/>
        <v>135600</v>
      </c>
      <c r="J209" s="85"/>
      <c r="K209" s="85"/>
      <c r="L209" s="85"/>
      <c r="M209" s="85"/>
      <c r="R209" s="85"/>
    </row>
    <row r="210" spans="1:18" s="86" customFormat="1" hidden="1" x14ac:dyDescent="0.25">
      <c r="A210" s="183" t="s">
        <v>154</v>
      </c>
      <c r="B210" s="110"/>
      <c r="C210" s="180">
        <v>5021101000</v>
      </c>
      <c r="D210" s="416">
        <f>IFERROR(VLOOKUP(C210,'tb control'!$C$10:$D$277,2,FALSE),0)</f>
        <v>0</v>
      </c>
      <c r="E210" s="420">
        <f>IFERROR(VLOOKUP(C210,'tb control'!$C$10:$E$277,3,FALSE),0)</f>
        <v>0</v>
      </c>
      <c r="F210" s="98">
        <f t="shared" si="3"/>
        <v>0</v>
      </c>
      <c r="J210" s="85"/>
      <c r="K210" s="85"/>
      <c r="L210" s="85"/>
      <c r="M210" s="85"/>
      <c r="R210" s="85"/>
    </row>
    <row r="211" spans="1:18" s="86" customFormat="1" x14ac:dyDescent="0.25">
      <c r="A211" s="183" t="s">
        <v>62</v>
      </c>
      <c r="B211" s="110"/>
      <c r="C211" s="180">
        <v>5021102000</v>
      </c>
      <c r="D211" s="416">
        <f>IFERROR(VLOOKUP(C211,'tb control'!$C$10:$D$277,2,FALSE),0)</f>
        <v>122640</v>
      </c>
      <c r="E211" s="420">
        <f>IFERROR(VLOOKUP(C211,'tb control'!$C$10:$E$277,3,FALSE),0)</f>
        <v>0</v>
      </c>
      <c r="F211" s="98">
        <f t="shared" si="3"/>
        <v>122640</v>
      </c>
      <c r="J211" s="85"/>
      <c r="K211" s="85"/>
      <c r="L211" s="85"/>
      <c r="M211" s="85"/>
      <c r="R211" s="85"/>
    </row>
    <row r="212" spans="1:18" s="86" customFormat="1" hidden="1" x14ac:dyDescent="0.25">
      <c r="A212" s="183" t="s">
        <v>63</v>
      </c>
      <c r="B212" s="110"/>
      <c r="C212" s="180">
        <v>5021103002</v>
      </c>
      <c r="D212" s="416">
        <f>IFERROR(VLOOKUP(C212,'tb control'!$C$10:$D$277,2,FALSE),0)</f>
        <v>0</v>
      </c>
      <c r="E212" s="420">
        <f>IFERROR(VLOOKUP(C212,'tb control'!$C$10:$E$277,3,FALSE),0)</f>
        <v>0</v>
      </c>
      <c r="F212" s="98">
        <f t="shared" si="3"/>
        <v>0</v>
      </c>
      <c r="J212" s="85"/>
      <c r="K212" s="85"/>
      <c r="L212" s="85"/>
      <c r="M212" s="85"/>
      <c r="R212" s="85"/>
    </row>
    <row r="213" spans="1:18" s="86" customFormat="1" x14ac:dyDescent="0.25">
      <c r="A213" s="183" t="s">
        <v>66</v>
      </c>
      <c r="B213" s="110"/>
      <c r="C213" s="180">
        <v>5021199000</v>
      </c>
      <c r="D213" s="416">
        <f>IFERROR(VLOOKUP(C213,'tb control'!$C$10:$D$277,2,FALSE),0)</f>
        <v>320685054.14999998</v>
      </c>
      <c r="E213" s="420">
        <f>IFERROR(VLOOKUP(C213,'tb control'!$C$10:$E$277,3,FALSE),0)</f>
        <v>0</v>
      </c>
      <c r="F213" s="98">
        <f t="shared" si="3"/>
        <v>320685054.14999998</v>
      </c>
      <c r="J213" s="85"/>
      <c r="K213" s="85"/>
      <c r="L213" s="85"/>
      <c r="M213" s="85"/>
      <c r="R213" s="85"/>
    </row>
    <row r="214" spans="1:18" s="86" customFormat="1" x14ac:dyDescent="0.25">
      <c r="A214" s="183" t="s">
        <v>64</v>
      </c>
      <c r="B214" s="110"/>
      <c r="C214" s="180">
        <v>5021202000</v>
      </c>
      <c r="D214" s="416">
        <f>IFERROR(VLOOKUP(C214,'tb control'!$C$10:$D$277,2,FALSE),0)</f>
        <v>2231723.37</v>
      </c>
      <c r="E214" s="420">
        <f>IFERROR(VLOOKUP(C214,'tb control'!$C$10:$E$277,3,FALSE),0)</f>
        <v>0</v>
      </c>
      <c r="F214" s="98">
        <f t="shared" si="3"/>
        <v>2231723.37</v>
      </c>
      <c r="J214" s="85"/>
      <c r="K214" s="85"/>
      <c r="L214" s="85"/>
      <c r="M214" s="85"/>
      <c r="R214" s="85"/>
    </row>
    <row r="215" spans="1:18" s="86" customFormat="1" ht="16.5" customHeight="1" x14ac:dyDescent="0.25">
      <c r="A215" s="183" t="s">
        <v>65</v>
      </c>
      <c r="B215" s="110"/>
      <c r="C215" s="180">
        <v>5021203000</v>
      </c>
      <c r="D215" s="416">
        <f>IFERROR(VLOOKUP(C215,'tb control'!$C$10:$D$277,2,FALSE),0)</f>
        <v>14762788.01</v>
      </c>
      <c r="E215" s="420">
        <f>IFERROR(VLOOKUP(C215,'tb control'!$C$10:$E$277,3,FALSE),0)</f>
        <v>0</v>
      </c>
      <c r="F215" s="98">
        <f t="shared" si="3"/>
        <v>14762788.01</v>
      </c>
      <c r="J215" s="85"/>
      <c r="K215" s="85"/>
      <c r="L215" s="85"/>
      <c r="M215" s="85"/>
      <c r="R215" s="85"/>
    </row>
    <row r="216" spans="1:18" s="86" customFormat="1" ht="16.5" hidden="1" customHeight="1" x14ac:dyDescent="0.25">
      <c r="A216" s="183" t="s">
        <v>208</v>
      </c>
      <c r="B216" s="110"/>
      <c r="C216" s="180">
        <v>5021299000</v>
      </c>
      <c r="D216" s="416">
        <f>IFERROR(VLOOKUP(C216,'tb control'!$C$10:$D$277,2,FALSE),0)</f>
        <v>0</v>
      </c>
      <c r="E216" s="420">
        <f>IFERROR(VLOOKUP(C216,'tb control'!$C$10:$E$277,3,FALSE),0)</f>
        <v>0</v>
      </c>
      <c r="F216" s="98">
        <f t="shared" si="3"/>
        <v>0</v>
      </c>
      <c r="J216" s="85"/>
      <c r="K216" s="85"/>
      <c r="L216" s="85"/>
      <c r="M216" s="85"/>
      <c r="R216" s="85"/>
    </row>
    <row r="217" spans="1:18" s="86" customFormat="1" ht="31.5" x14ac:dyDescent="0.25">
      <c r="A217" s="183" t="s">
        <v>155</v>
      </c>
      <c r="B217" s="110"/>
      <c r="C217" s="180">
        <v>5021304001</v>
      </c>
      <c r="D217" s="416">
        <f>IFERROR(VLOOKUP(C217,'tb control'!$C$10:$D$277,2,FALSE),0)</f>
        <v>9647742.2100000009</v>
      </c>
      <c r="E217" s="420">
        <f>IFERROR(VLOOKUP(C217,'tb control'!$C$10:$E$277,3,FALSE),0)</f>
        <v>0</v>
      </c>
      <c r="F217" s="98">
        <f t="shared" si="3"/>
        <v>9647742.2100000009</v>
      </c>
      <c r="J217" s="85"/>
      <c r="K217" s="85"/>
      <c r="L217" s="85"/>
      <c r="M217" s="85"/>
      <c r="R217" s="85"/>
    </row>
    <row r="218" spans="1:18" s="86" customFormat="1" ht="31.5" hidden="1" x14ac:dyDescent="0.25">
      <c r="A218" s="183" t="s">
        <v>156</v>
      </c>
      <c r="B218" s="110"/>
      <c r="C218" s="180">
        <v>5021304006</v>
      </c>
      <c r="D218" s="416">
        <f>IFERROR(VLOOKUP(C218,'tb control'!$C$10:$D$277,2,FALSE),0)</f>
        <v>0</v>
      </c>
      <c r="E218" s="420">
        <f>IFERROR(VLOOKUP(C218,'tb control'!$C$10:$E$277,3,FALSE),0)</f>
        <v>0</v>
      </c>
      <c r="F218" s="98">
        <f t="shared" si="3"/>
        <v>0</v>
      </c>
      <c r="J218" s="85"/>
      <c r="K218" s="85"/>
      <c r="L218" s="85"/>
      <c r="M218" s="85"/>
      <c r="R218" s="85"/>
    </row>
    <row r="219" spans="1:18" s="86" customFormat="1" ht="31.5" x14ac:dyDescent="0.25">
      <c r="A219" s="183" t="s">
        <v>157</v>
      </c>
      <c r="B219" s="110"/>
      <c r="C219" s="180">
        <v>5021304099</v>
      </c>
      <c r="D219" s="416">
        <f>IFERROR(VLOOKUP(C219,'tb control'!$C$10:$D$277,2,FALSE),0)</f>
        <v>1308999.58</v>
      </c>
      <c r="E219" s="420">
        <f>IFERROR(VLOOKUP(C219,'tb control'!$C$10:$E$277,3,FALSE),0)</f>
        <v>0</v>
      </c>
      <c r="F219" s="98">
        <f t="shared" si="3"/>
        <v>1308999.58</v>
      </c>
      <c r="J219" s="85"/>
      <c r="K219" s="85"/>
      <c r="L219" s="85"/>
      <c r="M219" s="85"/>
      <c r="R219" s="85"/>
    </row>
    <row r="220" spans="1:18" s="86" customFormat="1" ht="31.5" x14ac:dyDescent="0.25">
      <c r="A220" s="183" t="s">
        <v>483</v>
      </c>
      <c r="B220" s="110"/>
      <c r="C220" s="180">
        <v>5021305001</v>
      </c>
      <c r="D220" s="416">
        <f>IFERROR(VLOOKUP(C220,'tb control'!$C$10:$D$277,2,FALSE),0)</f>
        <v>2507</v>
      </c>
      <c r="E220" s="420">
        <f>IFERROR(VLOOKUP(C220,'tb control'!$C$10:$E$277,3,FALSE),0)</f>
        <v>0</v>
      </c>
      <c r="F220" s="98">
        <f t="shared" si="3"/>
        <v>2507</v>
      </c>
      <c r="J220" s="85"/>
      <c r="K220" s="85"/>
      <c r="L220" s="85"/>
      <c r="M220" s="85"/>
      <c r="R220" s="85"/>
    </row>
    <row r="221" spans="1:18" s="86" customFormat="1" ht="16.5" customHeight="1" x14ac:dyDescent="0.25">
      <c r="A221" s="183" t="s">
        <v>159</v>
      </c>
      <c r="B221" s="110"/>
      <c r="C221" s="180">
        <v>5021305002</v>
      </c>
      <c r="D221" s="416">
        <f>IFERROR(VLOOKUP(C221,'tb control'!$C$10:$D$277,2,FALSE),0)</f>
        <v>1080</v>
      </c>
      <c r="E221" s="420">
        <f>IFERROR(VLOOKUP(C221,'tb control'!$C$10:$E$277,3,FALSE),0)</f>
        <v>0</v>
      </c>
      <c r="F221" s="98">
        <f t="shared" si="3"/>
        <v>1080</v>
      </c>
      <c r="J221" s="85"/>
      <c r="K221" s="85"/>
      <c r="L221" s="85"/>
      <c r="M221" s="85"/>
      <c r="R221" s="85"/>
    </row>
    <row r="222" spans="1:18" s="86" customFormat="1" ht="31.5" x14ac:dyDescent="0.25">
      <c r="A222" s="183" t="s">
        <v>160</v>
      </c>
      <c r="B222" s="110"/>
      <c r="C222" s="180">
        <v>5021305003</v>
      </c>
      <c r="D222" s="416">
        <f>IFERROR(VLOOKUP(C222,'tb control'!$C$10:$D$277,2,FALSE),0)</f>
        <v>135000</v>
      </c>
      <c r="E222" s="420">
        <f>IFERROR(VLOOKUP(C222,'tb control'!$C$10:$E$277,3,FALSE),0)</f>
        <v>0</v>
      </c>
      <c r="F222" s="98">
        <f t="shared" si="3"/>
        <v>135000</v>
      </c>
      <c r="J222" s="85"/>
      <c r="K222" s="85"/>
      <c r="L222" s="85"/>
      <c r="M222" s="85"/>
      <c r="R222" s="85"/>
    </row>
    <row r="223" spans="1:18" s="86" customFormat="1" ht="31.5" hidden="1" x14ac:dyDescent="0.25">
      <c r="A223" s="183" t="s">
        <v>161</v>
      </c>
      <c r="B223" s="110"/>
      <c r="C223" s="180">
        <v>5021305007</v>
      </c>
      <c r="D223" s="416">
        <f>IFERROR(VLOOKUP(C223,'tb control'!$C$10:$D$277,2,FALSE),0)</f>
        <v>0</v>
      </c>
      <c r="E223" s="420">
        <f>IFERROR(VLOOKUP(C223,'tb control'!$C$10:$E$277,3,FALSE),0)</f>
        <v>0</v>
      </c>
      <c r="F223" s="98">
        <f t="shared" si="3"/>
        <v>0</v>
      </c>
      <c r="J223" s="85"/>
      <c r="K223" s="85"/>
      <c r="L223" s="85"/>
      <c r="M223" s="85"/>
      <c r="R223" s="85"/>
    </row>
    <row r="224" spans="1:18" s="86" customFormat="1" x14ac:dyDescent="0.25">
      <c r="A224" s="183" t="s">
        <v>491</v>
      </c>
      <c r="B224" s="110"/>
      <c r="C224" s="180">
        <v>5021305099</v>
      </c>
      <c r="D224" s="416">
        <f>IFERROR(VLOOKUP(C224,'tb control'!$C$10:$D$277,2,FALSE),0)</f>
        <v>1016723</v>
      </c>
      <c r="E224" s="420">
        <f>IFERROR(VLOOKUP(C224,'tb control'!$C$10:$E$277,3,FALSE),0)</f>
        <v>0</v>
      </c>
      <c r="F224" s="98">
        <f t="shared" si="3"/>
        <v>1016723</v>
      </c>
      <c r="J224" s="85"/>
      <c r="K224" s="85"/>
      <c r="L224" s="85"/>
      <c r="M224" s="85"/>
      <c r="R224" s="85"/>
    </row>
    <row r="225" spans="1:18" s="86" customFormat="1" ht="31.5" x14ac:dyDescent="0.25">
      <c r="A225" s="183" t="s">
        <v>163</v>
      </c>
      <c r="B225" s="110"/>
      <c r="C225" s="180">
        <v>5021306001</v>
      </c>
      <c r="D225" s="416">
        <f>IFERROR(VLOOKUP(C225,'tb control'!$C$10:$D$277,2,FALSE),0)</f>
        <v>5705692.79</v>
      </c>
      <c r="E225" s="420">
        <f>IFERROR(VLOOKUP(C225,'tb control'!$C$10:$E$277,3,FALSE),0)</f>
        <v>0</v>
      </c>
      <c r="F225" s="98">
        <f t="shared" si="3"/>
        <v>5705692.79</v>
      </c>
      <c r="J225" s="85"/>
      <c r="K225" s="85"/>
      <c r="L225" s="85"/>
      <c r="M225" s="85"/>
      <c r="R225" s="85"/>
    </row>
    <row r="226" spans="1:18" s="86" customFormat="1" x14ac:dyDescent="0.25">
      <c r="A226" s="183" t="s">
        <v>67</v>
      </c>
      <c r="B226" s="110"/>
      <c r="C226" s="180">
        <v>5021307000</v>
      </c>
      <c r="D226" s="416">
        <f>IFERROR(VLOOKUP(C226,'tb control'!$C$10:$D$277,2,FALSE),0)</f>
        <v>3107</v>
      </c>
      <c r="E226" s="420">
        <f>IFERROR(VLOOKUP(C226,'tb control'!$C$10:$E$277,3,FALSE),0)</f>
        <v>0</v>
      </c>
      <c r="F226" s="98">
        <f t="shared" si="3"/>
        <v>3107</v>
      </c>
      <c r="J226" s="85"/>
      <c r="K226" s="85"/>
      <c r="L226" s="85"/>
      <c r="M226" s="85"/>
      <c r="R226" s="85"/>
    </row>
    <row r="227" spans="1:18" s="86" customFormat="1" ht="16.5" hidden="1" customHeight="1" x14ac:dyDescent="0.25">
      <c r="A227" s="183" t="s">
        <v>158</v>
      </c>
      <c r="B227" s="110"/>
      <c r="C227" s="180">
        <v>5021309000</v>
      </c>
      <c r="D227" s="416">
        <f>IFERROR(VLOOKUP(C227,'tb control'!$C$10:$D$277,2,FALSE),0)</f>
        <v>0</v>
      </c>
      <c r="E227" s="420">
        <f>IFERROR(VLOOKUP(C227,'tb control'!$C$10:$E$277,3,FALSE),0)</f>
        <v>0</v>
      </c>
      <c r="F227" s="98">
        <f t="shared" si="3"/>
        <v>0</v>
      </c>
      <c r="J227" s="85"/>
      <c r="K227" s="85"/>
      <c r="L227" s="85"/>
      <c r="M227" s="85"/>
      <c r="R227" s="85"/>
    </row>
    <row r="228" spans="1:18" s="86" customFormat="1" hidden="1" x14ac:dyDescent="0.25">
      <c r="A228" s="183" t="s">
        <v>68</v>
      </c>
      <c r="B228" s="110"/>
      <c r="C228" s="180">
        <v>5021399099</v>
      </c>
      <c r="D228" s="416">
        <f>IFERROR(VLOOKUP(C228,'tb control'!$C$10:$D$277,2,FALSE),0)</f>
        <v>0</v>
      </c>
      <c r="E228" s="420">
        <f>IFERROR(VLOOKUP(C228,'tb control'!$C$10:$E$277,3,FALSE),0)</f>
        <v>0</v>
      </c>
      <c r="F228" s="98">
        <f t="shared" si="3"/>
        <v>0</v>
      </c>
      <c r="J228" s="85"/>
      <c r="K228" s="85"/>
      <c r="L228" s="85"/>
      <c r="M228" s="85"/>
      <c r="R228" s="85"/>
    </row>
    <row r="229" spans="1:18" s="86" customFormat="1" ht="16.5" hidden="1" customHeight="1" x14ac:dyDescent="0.25">
      <c r="A229" s="183" t="s">
        <v>164</v>
      </c>
      <c r="B229" s="110"/>
      <c r="C229" s="180">
        <v>5021402000</v>
      </c>
      <c r="D229" s="416">
        <f>IFERROR(VLOOKUP(C229,'tb control'!$C$10:$D$277,2,FALSE),0)</f>
        <v>0</v>
      </c>
      <c r="E229" s="420">
        <f>IFERROR(VLOOKUP(C229,'tb control'!$C$10:$E$277,3,FALSE),0)</f>
        <v>0</v>
      </c>
      <c r="F229" s="98">
        <f t="shared" si="3"/>
        <v>0</v>
      </c>
      <c r="J229" s="85"/>
      <c r="K229" s="85"/>
      <c r="L229" s="85"/>
      <c r="M229" s="85"/>
      <c r="R229" s="85"/>
    </row>
    <row r="230" spans="1:18" s="86" customFormat="1" hidden="1" x14ac:dyDescent="0.25">
      <c r="A230" s="183" t="s">
        <v>165</v>
      </c>
      <c r="B230" s="110"/>
      <c r="C230" s="180">
        <v>5021403000</v>
      </c>
      <c r="D230" s="416">
        <f>IFERROR(VLOOKUP(C230,'tb control'!$C$10:$D$277,2,FALSE),0)</f>
        <v>0</v>
      </c>
      <c r="E230" s="420">
        <f>IFERROR(VLOOKUP(C230,'tb control'!$C$10:$E$277,3,FALSE),0)</f>
        <v>0</v>
      </c>
      <c r="F230" s="98">
        <f t="shared" si="3"/>
        <v>0</v>
      </c>
      <c r="J230" s="85"/>
      <c r="K230" s="85"/>
      <c r="L230" s="85"/>
      <c r="M230" s="85"/>
      <c r="R230" s="85"/>
    </row>
    <row r="231" spans="1:18" s="86" customFormat="1" hidden="1" x14ac:dyDescent="0.25">
      <c r="A231" s="183" t="s">
        <v>166</v>
      </c>
      <c r="B231" s="110"/>
      <c r="C231" s="180">
        <v>5021405000</v>
      </c>
      <c r="D231" s="416">
        <f>IFERROR(VLOOKUP(C231,'tb control'!$C$10:$D$277,2,FALSE),0)</f>
        <v>0</v>
      </c>
      <c r="E231" s="420">
        <f>IFERROR(VLOOKUP(C231,'tb control'!$C$10:$E$277,3,FALSE),0)</f>
        <v>0</v>
      </c>
      <c r="F231" s="98">
        <f t="shared" si="3"/>
        <v>0</v>
      </c>
      <c r="J231" s="85"/>
      <c r="K231" s="85"/>
      <c r="L231" s="85"/>
      <c r="M231" s="85"/>
      <c r="R231" s="85"/>
    </row>
    <row r="232" spans="1:18" s="86" customFormat="1" x14ac:dyDescent="0.25">
      <c r="A232" s="183" t="s">
        <v>167</v>
      </c>
      <c r="B232" s="110"/>
      <c r="C232" s="180">
        <v>5021499000</v>
      </c>
      <c r="D232" s="416">
        <f>IFERROR(VLOOKUP(C232,'tb control'!$C$10:$D$277,2,FALSE),0)</f>
        <v>7371388425.0100002</v>
      </c>
      <c r="E232" s="420">
        <f>IFERROR(VLOOKUP(C232,'tb control'!$C$10:$E$277,3,FALSE),0)</f>
        <v>0</v>
      </c>
      <c r="F232" s="98">
        <f t="shared" si="3"/>
        <v>7371388425.0100002</v>
      </c>
      <c r="J232" s="85"/>
      <c r="K232" s="85"/>
      <c r="L232" s="85"/>
      <c r="M232" s="85"/>
      <c r="R232" s="85"/>
    </row>
    <row r="233" spans="1:18" s="86" customFormat="1" x14ac:dyDescent="0.25">
      <c r="A233" s="183" t="s">
        <v>442</v>
      </c>
      <c r="B233" s="110"/>
      <c r="C233" s="180">
        <v>5021407000</v>
      </c>
      <c r="D233" s="416">
        <f>IFERROR(VLOOKUP(C233,'tb control'!$C$10:$D$277,2,FALSE),0)</f>
        <v>24573473.57</v>
      </c>
      <c r="E233" s="420">
        <f>IFERROR(VLOOKUP(C233,'tb control'!$C$10:$E$277,3,FALSE),0)</f>
        <v>0</v>
      </c>
      <c r="F233" s="98">
        <f t="shared" si="3"/>
        <v>24573473.57</v>
      </c>
      <c r="J233" s="85"/>
      <c r="K233" s="85"/>
      <c r="L233" s="85"/>
      <c r="M233" s="85"/>
      <c r="R233" s="85"/>
    </row>
    <row r="234" spans="1:18" s="86" customFormat="1" x14ac:dyDescent="0.25">
      <c r="A234" s="183" t="s">
        <v>70</v>
      </c>
      <c r="B234" s="110"/>
      <c r="C234" s="180">
        <v>5021502000</v>
      </c>
      <c r="D234" s="416">
        <f>IFERROR(VLOOKUP(C234,'tb control'!$C$10:$D$277,2,FALSE),0)</f>
        <v>2911224.66</v>
      </c>
      <c r="E234" s="420">
        <f>IFERROR(VLOOKUP(C234,'tb control'!$C$10:$E$277,3,FALSE),0)</f>
        <v>0</v>
      </c>
      <c r="F234" s="98">
        <f t="shared" si="3"/>
        <v>2911224.66</v>
      </c>
      <c r="J234" s="85"/>
      <c r="K234" s="85"/>
      <c r="L234" s="85"/>
      <c r="M234" s="85"/>
      <c r="R234" s="85"/>
    </row>
    <row r="235" spans="1:18" s="86" customFormat="1" x14ac:dyDescent="0.25">
      <c r="A235" s="183" t="s">
        <v>71</v>
      </c>
      <c r="B235" s="110"/>
      <c r="C235" s="180">
        <v>5021503000</v>
      </c>
      <c r="D235" s="416">
        <f>IFERROR(VLOOKUP(C235,'tb control'!$C$10:$D$277,2,FALSE),0)</f>
        <v>1757189.85</v>
      </c>
      <c r="E235" s="420">
        <f>IFERROR(VLOOKUP(C235,'tb control'!$C$10:$E$277,3,FALSE),0)</f>
        <v>0</v>
      </c>
      <c r="F235" s="98">
        <f t="shared" si="3"/>
        <v>1757189.85</v>
      </c>
      <c r="J235" s="85"/>
      <c r="K235" s="85"/>
      <c r="L235" s="85"/>
      <c r="M235" s="85"/>
      <c r="R235" s="85"/>
    </row>
    <row r="236" spans="1:18" s="86" customFormat="1" x14ac:dyDescent="0.25">
      <c r="A236" s="183" t="s">
        <v>170</v>
      </c>
      <c r="B236" s="110"/>
      <c r="C236" s="180">
        <v>5021601000</v>
      </c>
      <c r="D236" s="416">
        <f>IFERROR(VLOOKUP(C236,'tb control'!$C$10:$D$277,2,FALSE),0)</f>
        <v>1456779.61</v>
      </c>
      <c r="E236" s="420">
        <f>IFERROR(VLOOKUP(C236,'tb control'!$C$10:$E$277,3,FALSE),0)</f>
        <v>0</v>
      </c>
      <c r="F236" s="98">
        <f t="shared" si="3"/>
        <v>1456779.61</v>
      </c>
      <c r="J236" s="85"/>
      <c r="K236" s="85"/>
      <c r="L236" s="85"/>
      <c r="M236" s="85"/>
      <c r="R236" s="85"/>
    </row>
    <row r="237" spans="1:18" s="86" customFormat="1" x14ac:dyDescent="0.25">
      <c r="A237" s="95" t="s">
        <v>540</v>
      </c>
      <c r="B237" s="110"/>
      <c r="C237" s="180">
        <v>5029901000</v>
      </c>
      <c r="D237" s="416">
        <f>IFERROR(VLOOKUP(C237,'tb control'!$C$10:$D$277,2,FALSE),0)</f>
        <v>1599238.24</v>
      </c>
      <c r="E237" s="420">
        <f>IFERROR(VLOOKUP(C237,'tb control'!$C$10:$E$277,3,FALSE),0)</f>
        <v>0</v>
      </c>
      <c r="F237" s="98">
        <f t="shared" si="3"/>
        <v>1599238.24</v>
      </c>
      <c r="J237" s="85"/>
      <c r="K237" s="85"/>
      <c r="L237" s="85"/>
      <c r="M237" s="85"/>
      <c r="R237" s="85"/>
    </row>
    <row r="238" spans="1:18" s="86" customFormat="1" ht="16.5" customHeight="1" x14ac:dyDescent="0.25">
      <c r="A238" s="183" t="s">
        <v>148</v>
      </c>
      <c r="B238" s="110"/>
      <c r="C238" s="180">
        <v>5029902000</v>
      </c>
      <c r="D238" s="416">
        <f>IFERROR(VLOOKUP(C238,'tb control'!$C$10:$D$277,2,FALSE),0)</f>
        <v>2002899.96</v>
      </c>
      <c r="E238" s="420">
        <f>IFERROR(VLOOKUP(C238,'tb control'!$C$10:$E$277,3,FALSE),0)</f>
        <v>0</v>
      </c>
      <c r="F238" s="98">
        <f t="shared" si="3"/>
        <v>2002899.96</v>
      </c>
      <c r="J238" s="85"/>
      <c r="K238" s="85"/>
      <c r="L238" s="85"/>
      <c r="M238" s="85"/>
      <c r="R238" s="85"/>
    </row>
    <row r="239" spans="1:18" s="86" customFormat="1" ht="16.5" customHeight="1" x14ac:dyDescent="0.25">
      <c r="A239" s="183" t="s">
        <v>59</v>
      </c>
      <c r="B239" s="110"/>
      <c r="C239" s="180">
        <v>5029903000</v>
      </c>
      <c r="D239" s="416">
        <f>IFERROR(VLOOKUP(C239,'tb control'!$C$10:$D$277,2,FALSE),0)</f>
        <v>13657298.08</v>
      </c>
      <c r="E239" s="420">
        <f>IFERROR(VLOOKUP(C239,'tb control'!$C$10:$E$277,3,FALSE),0)</f>
        <v>0</v>
      </c>
      <c r="F239" s="98">
        <f t="shared" si="3"/>
        <v>13657298.08</v>
      </c>
      <c r="J239" s="85"/>
      <c r="K239" s="85"/>
      <c r="L239" s="85"/>
      <c r="M239" s="85"/>
      <c r="R239" s="85"/>
    </row>
    <row r="240" spans="1:18" s="86" customFormat="1" ht="16.5" customHeight="1" x14ac:dyDescent="0.25">
      <c r="A240" s="183" t="s">
        <v>60</v>
      </c>
      <c r="B240" s="110"/>
      <c r="C240" s="180">
        <v>5029904000</v>
      </c>
      <c r="D240" s="416">
        <f>IFERROR(VLOOKUP(C240,'tb control'!$C$10:$D$277,2,FALSE),0)</f>
        <v>497700</v>
      </c>
      <c r="E240" s="420">
        <f>IFERROR(VLOOKUP(C240,'tb control'!$C$10:$E$277,3,FALSE),0)</f>
        <v>0</v>
      </c>
      <c r="F240" s="98">
        <f t="shared" si="3"/>
        <v>497700</v>
      </c>
      <c r="J240" s="85"/>
      <c r="K240" s="85"/>
      <c r="L240" s="85"/>
      <c r="M240" s="85"/>
      <c r="R240" s="85"/>
    </row>
    <row r="241" spans="1:18" s="86" customFormat="1" ht="16.5" customHeight="1" x14ac:dyDescent="0.25">
      <c r="A241" s="183" t="s">
        <v>407</v>
      </c>
      <c r="B241" s="110"/>
      <c r="C241" s="180">
        <v>5029905001</v>
      </c>
      <c r="D241" s="416">
        <f>IFERROR(VLOOKUP(C241,'tb control'!$C$10:$D$277,2,FALSE),0)</f>
        <v>5074521.05</v>
      </c>
      <c r="E241" s="420">
        <f>IFERROR(VLOOKUP(C241,'tb control'!$C$10:$E$277,3,FALSE),0)</f>
        <v>0</v>
      </c>
      <c r="F241" s="98">
        <f t="shared" si="3"/>
        <v>5074521.05</v>
      </c>
      <c r="J241" s="85"/>
      <c r="K241" s="85"/>
      <c r="L241" s="85"/>
      <c r="M241" s="85"/>
      <c r="R241" s="85"/>
    </row>
    <row r="242" spans="1:18" s="86" customFormat="1" x14ac:dyDescent="0.25">
      <c r="A242" s="183" t="s">
        <v>408</v>
      </c>
      <c r="B242" s="110"/>
      <c r="C242" s="180">
        <v>5029905003</v>
      </c>
      <c r="D242" s="416">
        <f>IFERROR(VLOOKUP(C242,'tb control'!$C$10:$D$277,2,FALSE),0)</f>
        <v>9425550</v>
      </c>
      <c r="E242" s="420">
        <f>IFERROR(VLOOKUP(C242,'tb control'!$C$10:$E$277,3,FALSE),0)</f>
        <v>0</v>
      </c>
      <c r="F242" s="98">
        <f t="shared" si="3"/>
        <v>9425550</v>
      </c>
      <c r="J242" s="85"/>
      <c r="K242" s="85"/>
      <c r="L242" s="85"/>
      <c r="M242" s="85"/>
      <c r="R242" s="85"/>
    </row>
    <row r="243" spans="1:18" s="86" customFormat="1" hidden="1" x14ac:dyDescent="0.25">
      <c r="A243" s="183" t="s">
        <v>409</v>
      </c>
      <c r="B243" s="110"/>
      <c r="C243" s="180">
        <v>5029905004</v>
      </c>
      <c r="D243" s="416">
        <f>IFERROR(VLOOKUP(C243,'tb control'!$C$10:$D$277,2,FALSE),0)</f>
        <v>0</v>
      </c>
      <c r="E243" s="420">
        <f>IFERROR(VLOOKUP(C243,'tb control'!$C$10:$E$277,3,FALSE),0)</f>
        <v>0</v>
      </c>
      <c r="F243" s="98">
        <f t="shared" si="3"/>
        <v>0</v>
      </c>
      <c r="J243" s="85"/>
      <c r="K243" s="85"/>
      <c r="L243" s="85"/>
      <c r="M243" s="85"/>
      <c r="R243" s="85"/>
    </row>
    <row r="244" spans="1:18" s="86" customFormat="1" hidden="1" x14ac:dyDescent="0.25">
      <c r="A244" s="183" t="s">
        <v>410</v>
      </c>
      <c r="B244" s="110"/>
      <c r="C244" s="180">
        <v>5029905005</v>
      </c>
      <c r="D244" s="416">
        <f>IFERROR(VLOOKUP(C244,'tb control'!$C$10:$D$277,2,FALSE),0)</f>
        <v>0</v>
      </c>
      <c r="E244" s="420">
        <f>IFERROR(VLOOKUP(C244,'tb control'!$C$10:$E$277,3,FALSE),0)</f>
        <v>0</v>
      </c>
      <c r="F244" s="98">
        <f t="shared" si="3"/>
        <v>0</v>
      </c>
      <c r="J244" s="85"/>
      <c r="K244" s="85"/>
      <c r="L244" s="85"/>
      <c r="M244" s="85"/>
      <c r="R244" s="85"/>
    </row>
    <row r="245" spans="1:18" s="86" customFormat="1" hidden="1" x14ac:dyDescent="0.25">
      <c r="A245" s="183" t="s">
        <v>153</v>
      </c>
      <c r="B245" s="110"/>
      <c r="C245" s="180">
        <v>5029905006</v>
      </c>
      <c r="D245" s="416">
        <f>IFERROR(VLOOKUP(C245,'tb control'!$C$10:$D$277,2,FALSE),0)</f>
        <v>0</v>
      </c>
      <c r="E245" s="420">
        <f>IFERROR(VLOOKUP(C245,'tb control'!$C$10:$E$277,3,FALSE),0)</f>
        <v>0</v>
      </c>
      <c r="F245" s="98">
        <f t="shared" si="3"/>
        <v>0</v>
      </c>
      <c r="J245" s="85"/>
      <c r="K245" s="85"/>
      <c r="L245" s="85"/>
      <c r="M245" s="85"/>
      <c r="R245" s="85"/>
    </row>
    <row r="246" spans="1:18" s="86" customFormat="1" hidden="1" x14ac:dyDescent="0.25">
      <c r="A246" s="183" t="s">
        <v>416</v>
      </c>
      <c r="B246" s="110"/>
      <c r="C246" s="180">
        <v>5029905008</v>
      </c>
      <c r="D246" s="416">
        <f>IFERROR(VLOOKUP(C246,'tb control'!$C$10:$D$277,2,FALSE),0)</f>
        <v>0</v>
      </c>
      <c r="E246" s="420">
        <f>IFERROR(VLOOKUP(C246,'tb control'!$C$10:$E$277,3,FALSE),0)</f>
        <v>0</v>
      </c>
      <c r="F246" s="98">
        <f t="shared" si="3"/>
        <v>0</v>
      </c>
      <c r="J246" s="85"/>
      <c r="K246" s="85"/>
      <c r="L246" s="85"/>
      <c r="M246" s="85"/>
      <c r="R246" s="85"/>
    </row>
    <row r="247" spans="1:18" s="86" customFormat="1" hidden="1" x14ac:dyDescent="0.25">
      <c r="A247" s="183" t="s">
        <v>57</v>
      </c>
      <c r="B247" s="110"/>
      <c r="C247" s="180">
        <v>5029906000</v>
      </c>
      <c r="D247" s="416">
        <f>IFERROR(VLOOKUP(C247,'tb control'!$C$10:$D$277,2,FALSE),0)</f>
        <v>0</v>
      </c>
      <c r="E247" s="420">
        <f>IFERROR(VLOOKUP(C247,'tb control'!$C$10:$E$277,3,FALSE),0)</f>
        <v>0</v>
      </c>
      <c r="F247" s="98">
        <f t="shared" si="3"/>
        <v>0</v>
      </c>
      <c r="J247" s="85"/>
      <c r="K247" s="85"/>
      <c r="L247" s="85"/>
      <c r="M247" s="85"/>
      <c r="R247" s="85"/>
    </row>
    <row r="248" spans="1:18" s="86" customFormat="1" x14ac:dyDescent="0.25">
      <c r="A248" s="183" t="s">
        <v>61</v>
      </c>
      <c r="B248" s="110"/>
      <c r="C248" s="180">
        <v>5029907000</v>
      </c>
      <c r="D248" s="416">
        <f>IFERROR(VLOOKUP(C248,'tb control'!$C$10:$D$277,2,FALSE),0)</f>
        <v>655281.54</v>
      </c>
      <c r="E248" s="420">
        <f>IFERROR(VLOOKUP(C248,'tb control'!$C$10:$E$277,3,FALSE),0)</f>
        <v>0</v>
      </c>
      <c r="F248" s="98">
        <f t="shared" si="3"/>
        <v>655281.54</v>
      </c>
      <c r="J248" s="85"/>
      <c r="K248" s="85"/>
      <c r="L248" s="85"/>
      <c r="M248" s="85"/>
      <c r="R248" s="85"/>
    </row>
    <row r="249" spans="1:18" s="86" customFormat="1" hidden="1" x14ac:dyDescent="0.25">
      <c r="A249" s="183" t="s">
        <v>458</v>
      </c>
      <c r="B249" s="110"/>
      <c r="C249" s="180">
        <v>5029907001</v>
      </c>
      <c r="D249" s="416">
        <f>IFERROR(VLOOKUP(C249,'tb control'!$C$10:$D$277,2,FALSE),0)</f>
        <v>0</v>
      </c>
      <c r="E249" s="420">
        <f>IFERROR(VLOOKUP(C249,'tb control'!$C$10:$E$277,3,FALSE),0)</f>
        <v>0</v>
      </c>
      <c r="F249" s="98">
        <f t="shared" si="3"/>
        <v>0</v>
      </c>
      <c r="J249" s="85"/>
      <c r="K249" s="85"/>
      <c r="L249" s="85"/>
      <c r="M249" s="85"/>
      <c r="R249" s="85"/>
    </row>
    <row r="250" spans="1:18" s="86" customFormat="1" hidden="1" x14ac:dyDescent="0.25">
      <c r="A250" s="183" t="s">
        <v>69</v>
      </c>
      <c r="B250" s="110"/>
      <c r="C250" s="180">
        <v>5029908000</v>
      </c>
      <c r="D250" s="416">
        <f>IFERROR(VLOOKUP(C250,'tb control'!$C$10:$D$277,2,FALSE),0)</f>
        <v>0</v>
      </c>
      <c r="E250" s="420">
        <f>IFERROR(VLOOKUP(C250,'tb control'!$C$10:$E$277,3,FALSE),0)</f>
        <v>0</v>
      </c>
      <c r="F250" s="98">
        <f t="shared" si="3"/>
        <v>0</v>
      </c>
      <c r="J250" s="85"/>
      <c r="K250" s="85"/>
      <c r="L250" s="85"/>
      <c r="M250" s="85"/>
      <c r="R250" s="85"/>
    </row>
    <row r="251" spans="1:18" s="86" customFormat="1" x14ac:dyDescent="0.25">
      <c r="A251" s="183" t="s">
        <v>80</v>
      </c>
      <c r="B251" s="110"/>
      <c r="C251" s="180">
        <v>5029999099</v>
      </c>
      <c r="D251" s="416">
        <f>IFERROR(VLOOKUP(C251,'tb control'!$C$10:$D$277,2,FALSE),0)</f>
        <v>7742218.0499999998</v>
      </c>
      <c r="E251" s="420">
        <f>IFERROR(VLOOKUP(C251,'tb control'!$C$10:$E$277,3,FALSE),0)</f>
        <v>0</v>
      </c>
      <c r="F251" s="98">
        <f t="shared" si="3"/>
        <v>7742218.0499999998</v>
      </c>
      <c r="J251" s="85"/>
      <c r="K251" s="85"/>
      <c r="L251" s="85"/>
      <c r="M251" s="85"/>
      <c r="R251" s="85"/>
    </row>
    <row r="252" spans="1:18" s="86" customFormat="1" hidden="1" x14ac:dyDescent="0.25">
      <c r="A252" s="95" t="s">
        <v>541</v>
      </c>
      <c r="B252" s="110"/>
      <c r="C252" s="180">
        <v>5030104000</v>
      </c>
      <c r="D252" s="416">
        <f>IFERROR(VLOOKUP(C252,'tb control'!$C$10:$D$277,2,FALSE),0)</f>
        <v>0</v>
      </c>
      <c r="E252" s="420">
        <f>IFERROR(VLOOKUP(C252,'tb control'!$C$10:$E$277,3,FALSE),0)</f>
        <v>0</v>
      </c>
      <c r="F252" s="98">
        <f t="shared" si="3"/>
        <v>0</v>
      </c>
      <c r="J252" s="85"/>
      <c r="K252" s="85"/>
      <c r="L252" s="85"/>
      <c r="M252" s="85"/>
      <c r="R252" s="85"/>
    </row>
    <row r="253" spans="1:18" s="86" customFormat="1" x14ac:dyDescent="0.25">
      <c r="A253" s="95" t="s">
        <v>547</v>
      </c>
      <c r="B253" s="110"/>
      <c r="C253" s="180">
        <v>5030199000</v>
      </c>
      <c r="D253" s="416">
        <f>IFERROR(VLOOKUP(C253,'tb control'!$C$10:$D$277,2,FALSE),0)</f>
        <v>200</v>
      </c>
      <c r="E253" s="420">
        <f>IFERROR(VLOOKUP(C253,'tb control'!$C$10:$E$277,3,FALSE),0)</f>
        <v>0</v>
      </c>
      <c r="F253" s="98">
        <f t="shared" si="3"/>
        <v>200</v>
      </c>
      <c r="J253" s="85"/>
      <c r="K253" s="85"/>
      <c r="L253" s="85"/>
      <c r="M253" s="85"/>
      <c r="R253" s="85"/>
    </row>
    <row r="254" spans="1:18" s="86" customFormat="1" x14ac:dyDescent="0.25">
      <c r="A254" s="183" t="s">
        <v>386</v>
      </c>
      <c r="B254" s="110"/>
      <c r="C254" s="180">
        <v>5050102099</v>
      </c>
      <c r="D254" s="416">
        <f>IFERROR(VLOOKUP(C254,'tb control'!$C$10:$D$277,2,FALSE),0)</f>
        <v>33202.5</v>
      </c>
      <c r="E254" s="420">
        <f>IFERROR(VLOOKUP(C254,'tb control'!$C$10:$E$277,3,FALSE),0)</f>
        <v>0</v>
      </c>
      <c r="F254" s="98">
        <f t="shared" si="3"/>
        <v>33202.5</v>
      </c>
      <c r="J254" s="85"/>
      <c r="K254" s="85"/>
      <c r="L254" s="85"/>
      <c r="M254" s="85"/>
      <c r="R254" s="85"/>
    </row>
    <row r="255" spans="1:18" s="86" customFormat="1" x14ac:dyDescent="0.25">
      <c r="A255" s="183" t="s">
        <v>72</v>
      </c>
      <c r="B255" s="110"/>
      <c r="C255" s="180">
        <v>5050104001</v>
      </c>
      <c r="D255" s="416">
        <f>IFERROR(VLOOKUP(C255,'tb control'!$C$10:$D$277,2,FALSE),0)</f>
        <v>4064499.79</v>
      </c>
      <c r="E255" s="420">
        <f>IFERROR(VLOOKUP(C255,'tb control'!$C$10:$E$277,3,FALSE),0)</f>
        <v>0</v>
      </c>
      <c r="F255" s="98">
        <f t="shared" si="3"/>
        <v>4064499.79</v>
      </c>
      <c r="J255" s="85"/>
      <c r="K255" s="85"/>
      <c r="L255" s="85"/>
      <c r="M255" s="85"/>
      <c r="R255" s="85"/>
    </row>
    <row r="256" spans="1:18" s="86" customFormat="1" x14ac:dyDescent="0.25">
      <c r="A256" s="183" t="s">
        <v>171</v>
      </c>
      <c r="B256" s="110"/>
      <c r="C256" s="180">
        <v>5050104099</v>
      </c>
      <c r="D256" s="416">
        <f>IFERROR(VLOOKUP(C256,'tb control'!$C$10:$D$277,2,FALSE),0)</f>
        <v>1488665.54</v>
      </c>
      <c r="E256" s="420">
        <f>IFERROR(VLOOKUP(C256,'tb control'!$C$10:$E$277,3,FALSE),0)</f>
        <v>0</v>
      </c>
      <c r="F256" s="98">
        <f t="shared" si="3"/>
        <v>1488665.54</v>
      </c>
      <c r="J256" s="85"/>
      <c r="K256" s="85"/>
      <c r="L256" s="85"/>
      <c r="M256" s="85"/>
      <c r="R256" s="85"/>
    </row>
    <row r="257" spans="1:27" s="86" customFormat="1" ht="16.5" customHeight="1" x14ac:dyDescent="0.25">
      <c r="A257" s="183" t="s">
        <v>73</v>
      </c>
      <c r="B257" s="110"/>
      <c r="C257" s="180">
        <v>5050105002</v>
      </c>
      <c r="D257" s="416">
        <f>IFERROR(VLOOKUP(C257,'tb control'!$C$10:$D$277,2,FALSE),0)</f>
        <v>849319.68</v>
      </c>
      <c r="E257" s="420">
        <f>IFERROR(VLOOKUP(C257,'tb control'!$C$10:$E$277,3,FALSE),0)</f>
        <v>0</v>
      </c>
      <c r="F257" s="98">
        <f t="shared" si="3"/>
        <v>849319.68</v>
      </c>
      <c r="J257" s="85"/>
      <c r="K257" s="85"/>
      <c r="L257" s="85"/>
      <c r="M257" s="85"/>
      <c r="R257" s="85"/>
    </row>
    <row r="258" spans="1:27" s="86" customFormat="1" x14ac:dyDescent="0.25">
      <c r="A258" s="183" t="s">
        <v>75</v>
      </c>
      <c r="B258" s="110"/>
      <c r="C258" s="180">
        <v>5050105003</v>
      </c>
      <c r="D258" s="416">
        <f>IFERROR(VLOOKUP(C258,'tb control'!$C$10:$D$277,2,FALSE),0)</f>
        <v>7474808.1299999999</v>
      </c>
      <c r="E258" s="420">
        <f>IFERROR(VLOOKUP(C258,'tb control'!$C$10:$E$277,3,FALSE),0)</f>
        <v>0</v>
      </c>
      <c r="F258" s="98">
        <f t="shared" si="3"/>
        <v>7474808.1299999999</v>
      </c>
      <c r="J258" s="85"/>
      <c r="K258" s="85"/>
      <c r="L258" s="85"/>
      <c r="M258" s="85"/>
      <c r="R258" s="85"/>
    </row>
    <row r="259" spans="1:27" s="86" customFormat="1" x14ac:dyDescent="0.25">
      <c r="A259" s="183" t="s">
        <v>76</v>
      </c>
      <c r="B259" s="110"/>
      <c r="C259" s="180">
        <v>5050105007</v>
      </c>
      <c r="D259" s="416">
        <f>IFERROR(VLOOKUP(C259,'tb control'!$C$10:$D$277,2,FALSE),0)</f>
        <v>1488508.05</v>
      </c>
      <c r="E259" s="420">
        <f>IFERROR(VLOOKUP(C259,'tb control'!$C$10:$E$277,3,FALSE),0)</f>
        <v>0</v>
      </c>
      <c r="F259" s="98">
        <f t="shared" si="3"/>
        <v>1488508.05</v>
      </c>
      <c r="J259" s="85"/>
      <c r="K259" s="85"/>
      <c r="L259" s="85"/>
      <c r="M259" s="85"/>
      <c r="R259" s="85"/>
    </row>
    <row r="260" spans="1:27" s="86" customFormat="1" ht="31.5" hidden="1" x14ac:dyDescent="0.25">
      <c r="A260" s="183" t="s">
        <v>173</v>
      </c>
      <c r="B260" s="110"/>
      <c r="C260" s="180">
        <v>5050105009</v>
      </c>
      <c r="D260" s="416">
        <f>IFERROR(VLOOKUP(C260,'tb control'!$C$10:$D$277,2,FALSE),0)</f>
        <v>0</v>
      </c>
      <c r="E260" s="420">
        <f>IFERROR(VLOOKUP(C260,'tb control'!$C$10:$E$277,3,FALSE),0)</f>
        <v>0</v>
      </c>
      <c r="F260" s="98">
        <f t="shared" si="3"/>
        <v>0</v>
      </c>
      <c r="J260" s="85"/>
      <c r="K260" s="85"/>
      <c r="L260" s="85"/>
      <c r="M260" s="85"/>
      <c r="R260" s="85"/>
    </row>
    <row r="261" spans="1:27" s="86" customFormat="1" ht="16.5" hidden="1" customHeight="1" x14ac:dyDescent="0.25">
      <c r="A261" s="183" t="s">
        <v>174</v>
      </c>
      <c r="B261" s="110"/>
      <c r="C261" s="180">
        <v>5050105011</v>
      </c>
      <c r="D261" s="416">
        <f>IFERROR(VLOOKUP(C261,'tb control'!$C$10:$D$277,2,FALSE),0)</f>
        <v>0</v>
      </c>
      <c r="E261" s="420">
        <f>IFERROR(VLOOKUP(C261,'tb control'!$C$10:$E$277,3,FALSE),0)</f>
        <v>0</v>
      </c>
      <c r="F261" s="98">
        <f t="shared" si="3"/>
        <v>0</v>
      </c>
      <c r="J261" s="85"/>
      <c r="K261" s="85"/>
      <c r="L261" s="85"/>
      <c r="M261" s="85"/>
      <c r="R261" s="85"/>
    </row>
    <row r="262" spans="1:27" s="86" customFormat="1" ht="16.5" hidden="1" customHeight="1" x14ac:dyDescent="0.25">
      <c r="A262" s="183" t="s">
        <v>77</v>
      </c>
      <c r="B262" s="110"/>
      <c r="C262" s="180">
        <v>5050105013</v>
      </c>
      <c r="D262" s="416">
        <f>IFERROR(VLOOKUP(C262,'tb control'!$C$10:$D$277,2,FALSE),0)</f>
        <v>0</v>
      </c>
      <c r="E262" s="420">
        <f>IFERROR(VLOOKUP(C262,'tb control'!$C$10:$E$277,3,FALSE),0)</f>
        <v>0</v>
      </c>
      <c r="F262" s="98">
        <f t="shared" si="3"/>
        <v>0</v>
      </c>
      <c r="J262" s="85"/>
      <c r="K262" s="85"/>
      <c r="L262" s="85"/>
      <c r="M262" s="85"/>
      <c r="R262" s="85"/>
    </row>
    <row r="263" spans="1:27" x14ac:dyDescent="0.25">
      <c r="A263" s="183" t="s">
        <v>267</v>
      </c>
      <c r="B263" s="110"/>
      <c r="C263" s="180">
        <v>5050105014</v>
      </c>
      <c r="D263" s="416">
        <f>IFERROR(VLOOKUP(C263,'tb control'!$C$10:$D$277,2,FALSE),0)</f>
        <v>21813.16</v>
      </c>
      <c r="E263" s="420">
        <f>IFERROR(VLOOKUP(C263,'tb control'!$C$10:$E$277,3,FALSE),0)</f>
        <v>0</v>
      </c>
      <c r="F263" s="98">
        <f t="shared" si="3"/>
        <v>21813.16</v>
      </c>
      <c r="G263" s="86"/>
      <c r="S263" s="86"/>
      <c r="T263" s="86"/>
      <c r="AA263" s="86"/>
    </row>
    <row r="264" spans="1:27" x14ac:dyDescent="0.25">
      <c r="A264" s="95" t="s">
        <v>542</v>
      </c>
      <c r="B264" s="110"/>
      <c r="C264" s="180">
        <v>5050105099</v>
      </c>
      <c r="D264" s="416">
        <f>IFERROR(VLOOKUP(C264,'tb control'!$C$10:$D$277,2,FALSE),0)</f>
        <v>250698.12</v>
      </c>
      <c r="E264" s="420">
        <f>IFERROR(VLOOKUP(C264,'tb control'!$C$10:$E$277,3,FALSE),0)</f>
        <v>0</v>
      </c>
      <c r="F264" s="98">
        <f t="shared" si="3"/>
        <v>250698.12</v>
      </c>
      <c r="G264" s="86"/>
      <c r="S264" s="86"/>
      <c r="T264" s="86"/>
      <c r="AA264" s="86"/>
    </row>
    <row r="265" spans="1:27" ht="16.5" customHeight="1" x14ac:dyDescent="0.25">
      <c r="A265" s="183" t="s">
        <v>78</v>
      </c>
      <c r="B265" s="110"/>
      <c r="C265" s="180">
        <v>5050106001</v>
      </c>
      <c r="D265" s="416">
        <f>IFERROR(VLOOKUP(C265,'tb control'!$C$10:$D$277,2,FALSE),0)</f>
        <v>3270236.15</v>
      </c>
      <c r="E265" s="420">
        <f>IFERROR(VLOOKUP(C265,'tb control'!$C$10:$E$277,3,FALSE),0)</f>
        <v>0</v>
      </c>
      <c r="F265" s="98">
        <f t="shared" si="3"/>
        <v>3270236.15</v>
      </c>
      <c r="G265" s="86"/>
      <c r="S265" s="86"/>
      <c r="T265" s="86"/>
      <c r="AA265" s="86"/>
    </row>
    <row r="266" spans="1:27" ht="16.5" customHeight="1" x14ac:dyDescent="0.25">
      <c r="A266" s="183" t="s">
        <v>419</v>
      </c>
      <c r="B266" s="110"/>
      <c r="C266" s="180">
        <v>5050108002</v>
      </c>
      <c r="D266" s="416">
        <f>IFERROR(VLOOKUP(C266,'tb control'!$C$10:$D$277,2,FALSE),0)</f>
        <v>12255</v>
      </c>
      <c r="E266" s="420">
        <f>IFERROR(VLOOKUP(C266,'tb control'!$C$10:$E$277,3,FALSE),0)</f>
        <v>0</v>
      </c>
      <c r="F266" s="98">
        <f t="shared" si="3"/>
        <v>12255</v>
      </c>
      <c r="G266" s="86"/>
      <c r="S266" s="86"/>
      <c r="T266" s="86"/>
      <c r="AA266" s="86"/>
    </row>
    <row r="267" spans="1:27" x14ac:dyDescent="0.25">
      <c r="A267" s="183" t="s">
        <v>74</v>
      </c>
      <c r="B267" s="110"/>
      <c r="C267" s="180">
        <v>5050107001</v>
      </c>
      <c r="D267" s="416">
        <f>IFERROR(VLOOKUP(C267,'tb control'!$C$10:$D$277,2,FALSE),0)</f>
        <v>43876.47</v>
      </c>
      <c r="E267" s="420">
        <f>IFERROR(VLOOKUP(C267,'tb control'!$C$10:$E$277,3,FALSE),0)</f>
        <v>0</v>
      </c>
      <c r="F267" s="98">
        <f t="shared" si="3"/>
        <v>43876.47</v>
      </c>
      <c r="G267" s="86"/>
      <c r="S267" s="86"/>
      <c r="T267" s="86"/>
      <c r="AA267" s="86"/>
    </row>
    <row r="268" spans="1:27" ht="16.5" hidden="1" customHeight="1" x14ac:dyDescent="0.25">
      <c r="A268" s="183" t="s">
        <v>172</v>
      </c>
      <c r="B268" s="110"/>
      <c r="C268" s="180">
        <v>5050107002</v>
      </c>
      <c r="D268" s="416">
        <f>IFERROR(VLOOKUP(C268,'tb control'!$C$10:$D$277,2,FALSE),0)</f>
        <v>0</v>
      </c>
      <c r="E268" s="420">
        <f>IFERROR(VLOOKUP(C268,'tb control'!$C$10:$E$277,3,FALSE),0)</f>
        <v>0</v>
      </c>
      <c r="F268" s="98">
        <f t="shared" si="3"/>
        <v>0</v>
      </c>
      <c r="G268" s="86"/>
      <c r="S268" s="86"/>
      <c r="T268" s="86"/>
      <c r="AA268" s="86"/>
    </row>
    <row r="269" spans="1:27" ht="16.5" hidden="1" customHeight="1" x14ac:dyDescent="0.25">
      <c r="A269" s="183" t="s">
        <v>79</v>
      </c>
      <c r="B269" s="110"/>
      <c r="C269" s="180">
        <v>5050199099</v>
      </c>
      <c r="D269" s="416">
        <f>IFERROR(VLOOKUP(C269,'tb control'!$C$10:$D$277,2,FALSE),0)</f>
        <v>0</v>
      </c>
      <c r="E269" s="420">
        <f>IFERROR(VLOOKUP(C269,'tb control'!$C$10:$E$277,3,FALSE),0)</f>
        <v>0</v>
      </c>
      <c r="F269" s="98">
        <f t="shared" si="3"/>
        <v>0</v>
      </c>
      <c r="G269" s="86"/>
      <c r="S269" s="86"/>
      <c r="T269" s="86"/>
      <c r="AA269" s="86"/>
    </row>
    <row r="270" spans="1:27" ht="16.5" customHeight="1" x14ac:dyDescent="0.25">
      <c r="A270" s="183" t="s">
        <v>360</v>
      </c>
      <c r="B270" s="110"/>
      <c r="C270" s="180">
        <v>5050201002</v>
      </c>
      <c r="D270" s="416">
        <f>IFERROR(VLOOKUP(C270,'tb control'!$C$10:$D$277,2,FALSE),0)</f>
        <v>94757.759999999995</v>
      </c>
      <c r="E270" s="420">
        <f>IFERROR(VLOOKUP(C270,'tb control'!$C$10:$E$277,3,FALSE),0)</f>
        <v>0</v>
      </c>
      <c r="F270" s="98">
        <f t="shared" si="3"/>
        <v>94757.759999999995</v>
      </c>
      <c r="G270" s="86"/>
      <c r="S270" s="86"/>
      <c r="T270" s="86"/>
      <c r="AA270" s="86"/>
    </row>
    <row r="271" spans="1:27" ht="16.5" customHeight="1" x14ac:dyDescent="0.25">
      <c r="A271" s="183" t="s">
        <v>553</v>
      </c>
      <c r="B271" s="110"/>
      <c r="C271" s="180">
        <v>5050307000</v>
      </c>
      <c r="D271" s="416">
        <f>IFERROR(VLOOKUP(C271,'tb control'!$C$10:$D$277,2,FALSE),0)</f>
        <v>571033.5</v>
      </c>
      <c r="E271" s="420">
        <f>IFERROR(VLOOKUP(C271,'tb control'!$C$10:$E$277,3,FALSE),0)</f>
        <v>0</v>
      </c>
      <c r="F271" s="98">
        <f t="shared" si="3"/>
        <v>571033.5</v>
      </c>
      <c r="G271" s="86"/>
      <c r="S271" s="86"/>
      <c r="T271" s="86"/>
      <c r="AA271" s="86"/>
    </row>
    <row r="272" spans="1:27" ht="16.5" hidden="1" customHeight="1" x14ac:dyDescent="0.25">
      <c r="A272" s="183" t="s">
        <v>176</v>
      </c>
      <c r="B272" s="110"/>
      <c r="C272" s="180">
        <v>5050409000</v>
      </c>
      <c r="D272" s="416">
        <f>IFERROR(VLOOKUP(C272,'tb control'!$C$10:$D$277,2,FALSE),0)</f>
        <v>0</v>
      </c>
      <c r="E272" s="420">
        <f>IFERROR(VLOOKUP(C272,'tb control'!$C$10:$E$277,3,FALSE),0)</f>
        <v>0</v>
      </c>
      <c r="F272" s="98">
        <f t="shared" si="3"/>
        <v>0</v>
      </c>
      <c r="G272" s="86"/>
      <c r="S272" s="86"/>
      <c r="T272" s="86"/>
      <c r="AA272" s="86"/>
    </row>
    <row r="273" spans="1:27" ht="16.5" customHeight="1" x14ac:dyDescent="0.25">
      <c r="A273" s="183" t="s">
        <v>554</v>
      </c>
      <c r="B273" s="110">
        <v>5050309000</v>
      </c>
      <c r="C273" s="180">
        <v>5050309000</v>
      </c>
      <c r="D273" s="416">
        <f>IFERROR(VLOOKUP(C273,'tb control'!$C$10:$D$277,2,FALSE),0)</f>
        <v>20463.669999999998</v>
      </c>
      <c r="E273" s="420">
        <f>IFERROR(VLOOKUP(C273,'tb control'!$C$10:$E$277,3,FALSE),0)</f>
        <v>0</v>
      </c>
      <c r="F273" s="98">
        <f t="shared" si="3"/>
        <v>20463.669999999998</v>
      </c>
      <c r="G273" s="86"/>
      <c r="S273" s="86"/>
      <c r="T273" s="86"/>
      <c r="AA273" s="86"/>
    </row>
    <row r="274" spans="1:27" ht="16.5" customHeight="1" x14ac:dyDescent="0.25">
      <c r="A274" s="183" t="s">
        <v>551</v>
      </c>
      <c r="B274" s="110">
        <v>5050404000</v>
      </c>
      <c r="C274" s="180">
        <v>5050404000</v>
      </c>
      <c r="D274" s="416">
        <f>IFERROR(VLOOKUP(C274,'tb control'!$C$10:$D$277,2,FALSE),0)</f>
        <v>368530.6</v>
      </c>
      <c r="E274" s="420">
        <f>IFERROR(VLOOKUP(C274,'tb control'!$C$10:$E$277,3,FALSE),0)</f>
        <v>0</v>
      </c>
      <c r="F274" s="98">
        <f t="shared" ref="F274" si="4">D274+E274</f>
        <v>368530.6</v>
      </c>
      <c r="G274" s="86"/>
      <c r="S274" s="86"/>
      <c r="T274" s="86"/>
      <c r="AA274" s="86"/>
    </row>
    <row r="275" spans="1:27" ht="16.5" hidden="1" thickBot="1" x14ac:dyDescent="0.3">
      <c r="A275" s="286" t="s">
        <v>177</v>
      </c>
      <c r="C275" s="180">
        <v>5050499000</v>
      </c>
      <c r="D275" s="416">
        <f>IFERROR(VLOOKUP(C275,'tb control'!$C$10:$D$277,2,FALSE),0)</f>
        <v>0</v>
      </c>
      <c r="E275" s="420">
        <f>IFERROR(VLOOKUP(C275,'tb control'!$C$10:$E$277,3,FALSE),0)</f>
        <v>0</v>
      </c>
      <c r="F275" s="98">
        <f t="shared" ref="F275" si="5">D275+E275</f>
        <v>0</v>
      </c>
      <c r="G275" s="86"/>
      <c r="S275" s="86"/>
      <c r="T275" s="86"/>
      <c r="U275" s="104"/>
      <c r="V275" s="104"/>
      <c r="W275" s="104"/>
      <c r="X275" s="104"/>
      <c r="Y275" s="104"/>
      <c r="AA275" s="86"/>
    </row>
    <row r="276" spans="1:27" hidden="1" x14ac:dyDescent="0.25">
      <c r="A276" s="286" t="s">
        <v>370</v>
      </c>
      <c r="B276" s="237" t="s">
        <v>94</v>
      </c>
      <c r="C276" s="180">
        <v>5060401000</v>
      </c>
      <c r="D276" s="416">
        <f>IFERROR(VLOOKUP(C276,'tb control'!$C$10:$D$277,2,FALSE),0)</f>
        <v>0</v>
      </c>
      <c r="E276" s="420">
        <f>IFERROR(VLOOKUP(C276,'tb control'!$C$10:$E$277,3,FALSE),0)</f>
        <v>0</v>
      </c>
      <c r="F276" s="98">
        <f t="shared" ref="F276:F277" si="6">D276+E276</f>
        <v>0</v>
      </c>
      <c r="S276" s="86"/>
      <c r="T276" s="86"/>
      <c r="AA276" s="86"/>
    </row>
    <row r="277" spans="1:27" hidden="1" x14ac:dyDescent="0.25">
      <c r="B277" s="237"/>
      <c r="C277" s="180"/>
      <c r="D277" s="416"/>
      <c r="E277" s="420"/>
      <c r="F277" s="98">
        <f t="shared" si="6"/>
        <v>0</v>
      </c>
      <c r="S277" s="86"/>
      <c r="T277" s="86"/>
      <c r="AA277" s="86"/>
    </row>
    <row r="278" spans="1:27" ht="16.5" thickBot="1" x14ac:dyDescent="0.3">
      <c r="A278" s="287" t="s">
        <v>411</v>
      </c>
      <c r="C278" s="293"/>
      <c r="D278" s="140">
        <f>SUM(D10:D277)</f>
        <v>10457564078.450001</v>
      </c>
      <c r="E278" s="140">
        <f>SUM(E10:E277)</f>
        <v>10457564078.450001</v>
      </c>
      <c r="F278" s="178">
        <f>SUM(F10:F277)</f>
        <v>20915128156.899998</v>
      </c>
      <c r="AA278" s="86"/>
    </row>
    <row r="279" spans="1:27" ht="16.5" thickTop="1" x14ac:dyDescent="0.25">
      <c r="D279" s="421"/>
      <c r="E279" s="422">
        <f>D278-E278</f>
        <v>0</v>
      </c>
      <c r="F279" s="86">
        <f>F278/2</f>
        <v>10457564078.449999</v>
      </c>
      <c r="AA279" s="86"/>
    </row>
    <row r="280" spans="1:27" hidden="1" x14ac:dyDescent="0.25">
      <c r="A280" s="287"/>
      <c r="D280" s="421"/>
      <c r="E280" s="421"/>
      <c r="F280" s="86">
        <f>F279-D278</f>
        <v>0</v>
      </c>
      <c r="AA280" s="86"/>
    </row>
    <row r="281" spans="1:27" x14ac:dyDescent="0.25">
      <c r="A281" s="287"/>
      <c r="D281" s="423" t="s">
        <v>412</v>
      </c>
      <c r="F281" s="86" t="s">
        <v>513</v>
      </c>
      <c r="AA281" s="86"/>
    </row>
    <row r="282" spans="1:27" x14ac:dyDescent="0.25">
      <c r="B282" s="109"/>
      <c r="F282" s="86" t="s">
        <v>513</v>
      </c>
      <c r="AA282" s="86"/>
    </row>
    <row r="283" spans="1:27" x14ac:dyDescent="0.25">
      <c r="A283" s="288"/>
      <c r="B283" s="110"/>
      <c r="D283" s="419" t="s">
        <v>389</v>
      </c>
      <c r="F283" s="86" t="s">
        <v>514</v>
      </c>
      <c r="AA283" s="86"/>
    </row>
    <row r="284" spans="1:27" x14ac:dyDescent="0.25">
      <c r="A284" s="289"/>
      <c r="B284" s="94"/>
      <c r="C284" s="295"/>
      <c r="D284" s="424" t="s">
        <v>363</v>
      </c>
      <c r="F284" s="86" t="s">
        <v>514</v>
      </c>
      <c r="AA284" s="86"/>
    </row>
    <row r="285" spans="1:27" s="114" customFormat="1" x14ac:dyDescent="0.25">
      <c r="A285" s="290"/>
      <c r="B285" s="110"/>
      <c r="C285" s="295"/>
      <c r="D285" s="425">
        <f>D278-'tb control'!D277</f>
        <v>0</v>
      </c>
      <c r="E285" s="425">
        <f>E278-'tb control'!E277</f>
        <v>0</v>
      </c>
      <c r="F285" s="115"/>
      <c r="H285" s="90"/>
      <c r="I285" s="90"/>
      <c r="N285" s="90"/>
      <c r="O285" s="90"/>
      <c r="P285" s="90"/>
      <c r="Q285" s="90"/>
      <c r="U285" s="90"/>
      <c r="V285" s="90"/>
      <c r="W285" s="90"/>
      <c r="X285" s="90"/>
      <c r="Y285" s="90"/>
    </row>
    <row r="286" spans="1:27" s="116" customFormat="1" hidden="1" x14ac:dyDescent="0.25">
      <c r="A286" s="286"/>
      <c r="B286" s="106"/>
      <c r="C286" s="294"/>
      <c r="D286" s="420">
        <f>D278-'tb control'!D277</f>
        <v>0</v>
      </c>
      <c r="E286" s="420">
        <f>E278-'tb control'!E277</f>
        <v>0</v>
      </c>
      <c r="F286" s="85"/>
      <c r="H286" s="86"/>
      <c r="I286" s="86"/>
      <c r="N286" s="86"/>
      <c r="O286" s="86"/>
      <c r="P286" s="86"/>
      <c r="Q286" s="86"/>
      <c r="U286" s="86"/>
      <c r="V286" s="86"/>
      <c r="W286" s="86"/>
      <c r="X286" s="86"/>
      <c r="Y286" s="86"/>
    </row>
    <row r="287" spans="1:27" s="116" customFormat="1" hidden="1" x14ac:dyDescent="0.25">
      <c r="A287" s="286"/>
      <c r="B287" s="106"/>
      <c r="C287" s="294"/>
      <c r="D287" s="423"/>
      <c r="E287" s="423"/>
      <c r="H287" s="86"/>
      <c r="I287" s="86"/>
      <c r="N287" s="86"/>
      <c r="O287" s="86"/>
      <c r="P287" s="86"/>
      <c r="Q287" s="86"/>
      <c r="U287" s="86"/>
      <c r="V287" s="86"/>
      <c r="W287" s="86"/>
      <c r="X287" s="86"/>
      <c r="Y287" s="86"/>
    </row>
    <row r="288" spans="1:27" hidden="1" x14ac:dyDescent="0.25">
      <c r="D288" s="423">
        <f>SUM(E125:E277)</f>
        <v>10013733567.400002</v>
      </c>
    </row>
    <row r="289" spans="4:32" hidden="1" x14ac:dyDescent="0.25">
      <c r="D289" s="423">
        <f>SUM(D125:D277)</f>
        <v>9227120021.0499992</v>
      </c>
    </row>
    <row r="290" spans="4:32" hidden="1" x14ac:dyDescent="0.25">
      <c r="D290" s="423">
        <f>D288-D289</f>
        <v>786613546.35000229</v>
      </c>
    </row>
    <row r="291" spans="4:32" hidden="1" x14ac:dyDescent="0.25">
      <c r="D291" s="423">
        <f>D290-FC1DIS!I283</f>
        <v>0</v>
      </c>
      <c r="AF291" s="86"/>
    </row>
    <row r="292" spans="4:32" hidden="1" x14ac:dyDescent="0.25"/>
  </sheetData>
  <autoFilter ref="A9:AA284">
    <filterColumn colId="5">
      <filters blank="1">
        <filter val="."/>
        <filter val=".."/>
        <filter val="1,016,723.00"/>
        <filter val="1,025,567.56"/>
        <filter val="1,080.00"/>
        <filter val="1,308,999.58"/>
        <filter val="1,402,493.36"/>
        <filter val="1,456,779.61"/>
        <filter val="1,463,000.00"/>
        <filter val="1,488,508.05"/>
        <filter val="1,488,665.54"/>
        <filter val="1,500.00"/>
        <filter val="1,534,539.18"/>
        <filter val="1,541,043.50"/>
        <filter val="1,599,238.24"/>
        <filter val="1,705.17"/>
        <filter val="1,757,189.85"/>
        <filter val="1,804,446.10"/>
        <filter val="1,861,114.27"/>
        <filter val="1,887,336.87"/>
        <filter val="10,310,298.55"/>
        <filter val="10,320,854.73"/>
        <filter val="10,458,293,063.45"/>
        <filter val="10,848,086.25"/>
        <filter val="100,000.00"/>
        <filter val="104,861.57"/>
        <filter val="106,254,872.28"/>
        <filter val="11,000.00"/>
        <filter val="11,092,962.93"/>
        <filter val="11,098,873.93"/>
        <filter val="11,854,678.75"/>
        <filter val="110,468.00"/>
        <filter val="114,843,771.00"/>
        <filter val="119,420,122.43"/>
        <filter val="12,255.00"/>
        <filter val="122,640.00"/>
        <filter val="13,457,915.16"/>
        <filter val="13,657,298.08"/>
        <filter val="13,914,630.00"/>
        <filter val="135,000.00"/>
        <filter val="135,600.00"/>
        <filter val="135,898.00"/>
        <filter val="14,101,842.76"/>
        <filter val="14,762,788.01"/>
        <filter val="144,855,422.09"/>
        <filter val="149,560.00"/>
        <filter val="15,619,337.94"/>
        <filter val="150,830.55"/>
        <filter val="151,284,609.76"/>
        <filter val="158,769.00"/>
        <filter val="16,276.00"/>
        <filter val="160,390.73"/>
        <filter val="164,930.00"/>
        <filter val="172,292,235.08"/>
        <filter val="179,124.09"/>
        <filter val="185,060,554.27"/>
        <filter val="193,062,384.37"/>
        <filter val="2,002,899.96"/>
        <filter val="2,011,675.00"/>
        <filter val="2,063,972.97"/>
        <filter val="2,231,723.37"/>
        <filter val="2,435,287.89"/>
        <filter val="2,507.00"/>
        <filter val="2,731,156.40"/>
        <filter val="2,911,224.66"/>
        <filter val="20,463.67"/>
        <filter val="20,916,586,126.90"/>
        <filter val="200.00"/>
        <filter val="21,337,000.00"/>
        <filter val="21,813.16"/>
        <filter val="210,000.00"/>
        <filter val="22,246,659.50"/>
        <filter val="22,256,506.46"/>
        <filter val="220,000.00"/>
        <filter val="23,541.59"/>
        <filter val="24,573,473.57"/>
        <filter val="25,570.00"/>
        <filter val="25,633,298.41"/>
        <filter val="250,698.12"/>
        <filter val="267,600.00"/>
        <filter val="269,936.06"/>
        <filter val="28,436,934.66"/>
        <filter val="29,012,774.38"/>
        <filter val="293,096.97"/>
        <filter val="3,027,097.69"/>
        <filter val="3,103,412.70"/>
        <filter val="3,107.00"/>
        <filter val="3,270,236.15"/>
        <filter val="3,545,933.87"/>
        <filter val="3,600.00"/>
        <filter val="3,832.21"/>
        <filter val="3,900.00"/>
        <filter val="3,995,588.92"/>
        <filter val="30,393.09"/>
        <filter val="31,454.42"/>
        <filter val="320,100.00"/>
        <filter val="320,685,054.15"/>
        <filter val="33,202.50"/>
        <filter val="330,000.00"/>
        <filter val="36,203.54"/>
        <filter val="365,376.47"/>
        <filter val="368,530.60"/>
        <filter val="386,175.00"/>
        <filter val="388,812.00"/>
        <filter val="39,625,631.82"/>
        <filter val="392,342,147.20"/>
        <filter val="4,064,499.79"/>
        <filter val="4,111,127.08"/>
        <filter val="4,281.00"/>
        <filter val="4,628,561.00"/>
        <filter val="4,722,151.95"/>
        <filter val="41,357,030.31"/>
        <filter val="42,892.50"/>
        <filter val="43,479,692.81"/>
        <filter val="43,876.47"/>
        <filter val="435,078.56"/>
        <filter val="466,563.92"/>
        <filter val="47,350.00"/>
        <filter val="477,377.28"/>
        <filter val="495,141.61"/>
        <filter val="497,700.00"/>
        <filter val="5,000.00"/>
        <filter val="5,072,765.98"/>
        <filter val="5,074,521.05"/>
        <filter val="5,243,173.30"/>
        <filter val="5,576,457.21"/>
        <filter val="5,705,692.79"/>
        <filter val="5,887,842.01"/>
        <filter val="51,002,202.97"/>
        <filter val="527,000.00"/>
        <filter val="53,384,186.76"/>
        <filter val="55,953,748.49"/>
        <filter val="561,610.40"/>
        <filter val="571,033.50"/>
        <filter val="577,680.00"/>
        <filter val="6,000.00"/>
        <filter val="6,260,372.35"/>
        <filter val="6,280,488.10"/>
        <filter val="6,500.00"/>
        <filter val="60,397,008.46"/>
        <filter val="635,000.00"/>
        <filter val="641,000.00"/>
        <filter val="65,473.78"/>
        <filter val="655,281.54"/>
        <filter val="688,133.12"/>
        <filter val="699,000.00"/>
        <filter val="7,223,768.71"/>
        <filter val="7,262,082.98"/>
        <filter val="7,371,388,425.01"/>
        <filter val="7,474,808.13"/>
        <filter val="7,742,218.05"/>
        <filter val="7,953,919.51"/>
        <filter val="702,135,870.62"/>
        <filter val="71,741.22"/>
        <filter val="727,583.91"/>
        <filter val="735,000.00"/>
        <filter val="748,200.50"/>
        <filter val="75,000.00"/>
        <filter val="752,978.50"/>
        <filter val="768.99"/>
        <filter val="781,714.57"/>
        <filter val="79,220.00"/>
        <filter val="79,930,129.11"/>
        <filter val="8,129,340.69"/>
        <filter val="8,181,442.96"/>
        <filter val="8,194,329.89"/>
        <filter val="8,490.00"/>
        <filter val="800,648.79"/>
        <filter val="82,068.67"/>
        <filter val="82,270.31"/>
        <filter val="849,319.68"/>
        <filter val="9,328,622.88"/>
        <filter val="9,425,550.00"/>
        <filter val="9,647,742.21"/>
        <filter val="9,780,803,338.53"/>
        <filter val="90,351,210.14"/>
        <filter val="90,552,093.18"/>
        <filter val="915,693.23"/>
        <filter val="94,757.76"/>
        <filter val="95,000.00"/>
        <filter val="997,450.00"/>
      </filters>
    </filterColumn>
  </autoFilter>
  <sortState ref="A11:G255">
    <sortCondition ref="C10"/>
  </sortState>
  <mergeCells count="7">
    <mergeCell ref="A7:A8"/>
    <mergeCell ref="A1:E1"/>
    <mergeCell ref="A2:E2"/>
    <mergeCell ref="A3:E3"/>
    <mergeCell ref="A4:E4"/>
    <mergeCell ref="A5:E5"/>
    <mergeCell ref="A6:E6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99" fitToHeight="0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rgb="FFFFFF00"/>
    <pageSetUpPr fitToPage="1"/>
  </sheetPr>
  <dimension ref="A1:AC286"/>
  <sheetViews>
    <sheetView view="pageBreakPreview" zoomScaleNormal="100" zoomScaleSheetLayoutView="100" workbookViewId="0">
      <pane xSplit="3" ySplit="9" topLeftCell="D103" activePane="bottomRight" state="frozen"/>
      <selection activeCell="N18" sqref="N18"/>
      <selection pane="topRight" activeCell="N18" sqref="N18"/>
      <selection pane="bottomLeft" activeCell="N18" sqref="N18"/>
      <selection pane="bottomRight" activeCell="E122" sqref="E122"/>
    </sheetView>
  </sheetViews>
  <sheetFormatPr defaultColWidth="9.140625" defaultRowHeight="15.75" x14ac:dyDescent="0.25"/>
  <cols>
    <col min="1" max="1" width="48.7109375" style="286" customWidth="1"/>
    <col min="2" max="2" width="8.28515625" style="106" hidden="1" customWidth="1"/>
    <col min="3" max="3" width="12.42578125" style="294" bestFit="1" customWidth="1"/>
    <col min="4" max="4" width="18.140625" style="116" customWidth="1"/>
    <col min="5" max="5" width="19.5703125" style="116" customWidth="1"/>
    <col min="6" max="6" width="19.28515625" style="302" customWidth="1"/>
    <col min="7" max="7" width="9.140625" style="85" customWidth="1"/>
    <col min="8" max="8" width="18.42578125" style="86" customWidth="1"/>
    <col min="9" max="9" width="16" style="86" customWidth="1"/>
    <col min="10" max="10" width="9.140625" style="85" customWidth="1"/>
    <col min="11" max="12" width="16" style="85" customWidth="1"/>
    <col min="13" max="13" width="9.140625" style="85" customWidth="1"/>
    <col min="14" max="14" width="12.5703125" style="86" customWidth="1"/>
    <col min="15" max="15" width="12.42578125" style="86" customWidth="1"/>
    <col min="16" max="16" width="17" style="86" customWidth="1"/>
    <col min="17" max="17" width="14.5703125" style="86" customWidth="1"/>
    <col min="18" max="18" width="9.140625" style="85" customWidth="1"/>
    <col min="19" max="19" width="18.85546875" style="86" customWidth="1"/>
    <col min="20" max="20" width="16.28515625" style="86" customWidth="1"/>
    <col min="21" max="21" width="16" style="86" customWidth="1"/>
    <col min="22" max="22" width="14.5703125" style="86" customWidth="1"/>
    <col min="23" max="23" width="14.85546875" style="86" customWidth="1"/>
    <col min="24" max="24" width="16" style="86" customWidth="1"/>
    <col min="25" max="26" width="9.140625" style="85" customWidth="1"/>
    <col min="27" max="27" width="16.5703125" style="85" customWidth="1"/>
    <col min="28" max="28" width="9.140625" style="85" customWidth="1"/>
    <col min="29" max="29" width="14.85546875" style="85" customWidth="1"/>
    <col min="30" max="16357" width="9.140625" style="85" customWidth="1"/>
    <col min="16358" max="16382" width="9.140625" style="85"/>
    <col min="16383" max="16384" width="3.28515625" style="85" customWidth="1"/>
  </cols>
  <sheetData>
    <row r="1" spans="1:19" x14ac:dyDescent="0.25">
      <c r="A1" s="542" t="s">
        <v>0</v>
      </c>
      <c r="B1" s="542"/>
      <c r="C1" s="542"/>
      <c r="D1" s="542"/>
      <c r="E1" s="542"/>
    </row>
    <row r="2" spans="1:19" x14ac:dyDescent="0.25">
      <c r="A2" s="542" t="s">
        <v>1</v>
      </c>
      <c r="B2" s="542"/>
      <c r="C2" s="542"/>
      <c r="D2" s="542"/>
      <c r="E2" s="542"/>
    </row>
    <row r="3" spans="1:19" x14ac:dyDescent="0.25">
      <c r="A3" s="543" t="s">
        <v>197</v>
      </c>
      <c r="B3" s="543"/>
      <c r="C3" s="542"/>
      <c r="D3" s="543"/>
      <c r="E3" s="543"/>
    </row>
    <row r="4" spans="1:19" x14ac:dyDescent="0.25">
      <c r="A4" s="544" t="s">
        <v>365</v>
      </c>
      <c r="B4" s="544"/>
      <c r="C4" s="550"/>
      <c r="D4" s="544"/>
      <c r="E4" s="544"/>
    </row>
    <row r="5" spans="1:19" x14ac:dyDescent="0.25">
      <c r="A5" s="545" t="str">
        <f>'tb control'!A5:E5</f>
        <v>As at December 31, 2024</v>
      </c>
      <c r="B5" s="545"/>
      <c r="C5" s="545"/>
      <c r="D5" s="545"/>
      <c r="E5" s="545"/>
    </row>
    <row r="6" spans="1:19" x14ac:dyDescent="0.25">
      <c r="A6" s="296"/>
      <c r="B6" s="117"/>
      <c r="C6" s="299"/>
      <c r="D6" s="118"/>
      <c r="E6" s="118"/>
    </row>
    <row r="7" spans="1:19" x14ac:dyDescent="0.25">
      <c r="A7" s="546" t="s">
        <v>81</v>
      </c>
      <c r="B7" s="87" t="s">
        <v>82</v>
      </c>
      <c r="C7" s="291" t="s">
        <v>178</v>
      </c>
      <c r="D7" s="119"/>
      <c r="E7" s="119"/>
      <c r="I7" s="90"/>
    </row>
    <row r="8" spans="1:19" x14ac:dyDescent="0.25">
      <c r="A8" s="547"/>
      <c r="B8" s="91" t="s">
        <v>83</v>
      </c>
      <c r="C8" s="292" t="s">
        <v>83</v>
      </c>
      <c r="D8" s="120" t="s">
        <v>84</v>
      </c>
      <c r="E8" s="120" t="s">
        <v>85</v>
      </c>
    </row>
    <row r="9" spans="1:19" x14ac:dyDescent="0.25">
      <c r="A9" s="283"/>
      <c r="B9" s="94"/>
      <c r="C9" s="180"/>
      <c r="D9" s="121"/>
      <c r="E9" s="121"/>
    </row>
    <row r="10" spans="1:19" s="86" customFormat="1" x14ac:dyDescent="0.25">
      <c r="A10" s="183" t="s">
        <v>2</v>
      </c>
      <c r="B10" s="110"/>
      <c r="C10" s="180">
        <v>1010101000</v>
      </c>
      <c r="D10" s="98">
        <f>IFERROR(VLOOKUP($C10,'FC1-Pre TB 2024'!$C$10:$D$276,2,FALSE),0)</f>
        <v>11854678.75</v>
      </c>
      <c r="E10" s="98">
        <f>IFERROR(VLOOKUP($C10,'FC1-Pre TB 2024'!$C$10:$E$276,3,FALSE),0)</f>
        <v>0</v>
      </c>
      <c r="F10" s="303">
        <f>D10+E10</f>
        <v>11854678.75</v>
      </c>
      <c r="G10" s="97"/>
      <c r="H10" s="97"/>
      <c r="I10" s="97"/>
      <c r="J10" s="101"/>
      <c r="K10" s="101"/>
      <c r="L10" s="101"/>
      <c r="M10" s="101"/>
      <c r="N10" s="97"/>
      <c r="O10" s="97"/>
      <c r="P10" s="97"/>
      <c r="Q10" s="97"/>
      <c r="R10" s="101"/>
      <c r="S10" s="97"/>
    </row>
    <row r="11" spans="1:19" s="86" customFormat="1" x14ac:dyDescent="0.25">
      <c r="A11" s="183" t="s">
        <v>3</v>
      </c>
      <c r="B11" s="110"/>
      <c r="C11" s="180">
        <v>1010102000</v>
      </c>
      <c r="D11" s="98">
        <f>IFERROR(VLOOKUP($C11,'FC1-Pre TB 2024'!$C$10:$D$276,2,FALSE),0)</f>
        <v>735000</v>
      </c>
      <c r="E11" s="98">
        <f>IFERROR(VLOOKUP($C11,'FC1-Pre TB 2024'!$C$10:$E$276,3,FALSE),0)</f>
        <v>0</v>
      </c>
      <c r="F11" s="303">
        <f t="shared" ref="F11:F74" si="0">D11+E11</f>
        <v>735000</v>
      </c>
      <c r="G11" s="97"/>
      <c r="H11" s="97"/>
      <c r="I11" s="97"/>
      <c r="J11" s="101"/>
      <c r="K11" s="101"/>
      <c r="L11" s="101"/>
      <c r="M11" s="101"/>
      <c r="N11" s="97"/>
      <c r="O11" s="97"/>
      <c r="P11" s="97"/>
      <c r="Q11" s="97"/>
      <c r="R11" s="101"/>
      <c r="S11" s="97"/>
    </row>
    <row r="12" spans="1:19" s="86" customFormat="1" hidden="1" x14ac:dyDescent="0.25">
      <c r="A12" s="183" t="s">
        <v>98</v>
      </c>
      <c r="B12" s="110"/>
      <c r="C12" s="180">
        <v>1010202016</v>
      </c>
      <c r="D12" s="98">
        <f>IFERROR(VLOOKUP($C12,'FC1-Pre TB 2024'!$C$10:$D$276,2,FALSE),0)</f>
        <v>0</v>
      </c>
      <c r="E12" s="98">
        <f>IFERROR(VLOOKUP($C12,'FC1-Pre TB 2024'!$C$10:$E$276,3,FALSE),0)</f>
        <v>0</v>
      </c>
      <c r="F12" s="303">
        <f t="shared" si="0"/>
        <v>0</v>
      </c>
      <c r="G12" s="97"/>
      <c r="H12" s="97"/>
      <c r="I12" s="97"/>
      <c r="J12" s="101"/>
      <c r="K12" s="101"/>
      <c r="L12" s="101"/>
      <c r="M12" s="101"/>
      <c r="N12" s="97"/>
      <c r="O12" s="97"/>
      <c r="P12" s="97"/>
      <c r="Q12" s="97"/>
      <c r="R12" s="101"/>
      <c r="S12" s="97"/>
    </row>
    <row r="13" spans="1:19" s="86" customFormat="1" ht="31.5" x14ac:dyDescent="0.25">
      <c r="A13" s="183" t="s">
        <v>507</v>
      </c>
      <c r="B13" s="110"/>
      <c r="C13" s="180">
        <v>1010202024</v>
      </c>
      <c r="D13" s="98">
        <f>IFERROR(VLOOKUP($C13,'FC1-Pre TB 2024'!$C$10:$D$276,2,FALSE),0)</f>
        <v>220000</v>
      </c>
      <c r="E13" s="98">
        <f>IFERROR(VLOOKUP($C13,'FC1-Pre TB 2024'!$C$10:$E$276,3,FALSE),0)</f>
        <v>0</v>
      </c>
      <c r="F13" s="303">
        <f t="shared" si="0"/>
        <v>220000</v>
      </c>
      <c r="G13" s="97"/>
      <c r="H13" s="97"/>
      <c r="I13" s="97"/>
      <c r="J13" s="101"/>
      <c r="K13" s="101"/>
      <c r="L13" s="101"/>
      <c r="M13" s="101"/>
      <c r="N13" s="97"/>
      <c r="O13" s="97"/>
      <c r="P13" s="97"/>
      <c r="Q13" s="97"/>
      <c r="R13" s="101"/>
      <c r="S13" s="97"/>
    </row>
    <row r="14" spans="1:19" s="86" customFormat="1" ht="31.5" hidden="1" x14ac:dyDescent="0.25">
      <c r="A14" s="183" t="s">
        <v>100</v>
      </c>
      <c r="B14" s="110"/>
      <c r="C14" s="180">
        <v>1010202030</v>
      </c>
      <c r="D14" s="98">
        <f>IFERROR(VLOOKUP($C14,'FC1-Pre TB 2024'!$C$10:$D$276,2,FALSE),0)</f>
        <v>0</v>
      </c>
      <c r="E14" s="98">
        <f>IFERROR(VLOOKUP($C14,'FC1-Pre TB 2024'!$C$10:$E$276,3,FALSE),0)</f>
        <v>0</v>
      </c>
      <c r="F14" s="303">
        <f t="shared" si="0"/>
        <v>0</v>
      </c>
      <c r="G14" s="97"/>
      <c r="H14" s="97"/>
      <c r="I14" s="97"/>
      <c r="J14" s="101"/>
      <c r="K14" s="101"/>
      <c r="L14" s="101"/>
      <c r="M14" s="101"/>
      <c r="N14" s="97"/>
      <c r="O14" s="97"/>
      <c r="P14" s="97"/>
      <c r="Q14" s="97"/>
      <c r="R14" s="101"/>
      <c r="S14" s="97"/>
    </row>
    <row r="15" spans="1:19" s="86" customFormat="1" hidden="1" x14ac:dyDescent="0.25">
      <c r="A15" s="183" t="s">
        <v>179</v>
      </c>
      <c r="B15" s="110"/>
      <c r="C15" s="180">
        <v>1010401000</v>
      </c>
      <c r="D15" s="98">
        <v>0</v>
      </c>
      <c r="E15" s="98">
        <f>IFERROR(VLOOKUP($C15,'FC1-Pre TB 2024'!$C$10:$E$276,3,FALSE),0)</f>
        <v>0</v>
      </c>
      <c r="F15" s="303">
        <f t="shared" si="0"/>
        <v>0</v>
      </c>
      <c r="G15" s="97"/>
      <c r="H15" s="97"/>
      <c r="I15" s="97"/>
      <c r="J15" s="101"/>
      <c r="K15" s="101"/>
      <c r="L15" s="101"/>
      <c r="M15" s="101"/>
      <c r="N15" s="97"/>
      <c r="O15" s="97"/>
      <c r="P15" s="97"/>
      <c r="Q15" s="97"/>
      <c r="R15" s="101"/>
      <c r="S15" s="97"/>
    </row>
    <row r="16" spans="1:19" s="86" customFormat="1" x14ac:dyDescent="0.25">
      <c r="A16" s="183" t="s">
        <v>180</v>
      </c>
      <c r="B16" s="94"/>
      <c r="C16" s="180">
        <v>1010403000</v>
      </c>
      <c r="D16" s="98">
        <f>IFERROR(VLOOKUP($C16,'FC1-Pre TB 2024'!$C$10:$D$276,2,FALSE),0)</f>
        <v>11092962.93</v>
      </c>
      <c r="E16" s="98">
        <f>IFERROR(VLOOKUP($C16,'FC1-Pre TB 2024'!$C$10:$E$276,3,FALSE),0)</f>
        <v>0</v>
      </c>
      <c r="F16" s="303">
        <f t="shared" si="0"/>
        <v>11092962.93</v>
      </c>
      <c r="G16" s="97"/>
      <c r="H16" s="97"/>
      <c r="I16" s="97"/>
      <c r="J16" s="101"/>
      <c r="K16" s="101"/>
      <c r="L16" s="101"/>
      <c r="M16" s="101"/>
      <c r="N16" s="97"/>
      <c r="O16" s="97"/>
      <c r="P16" s="97"/>
      <c r="Q16" s="97"/>
      <c r="R16" s="101"/>
      <c r="S16" s="97"/>
    </row>
    <row r="17" spans="1:19" s="86" customFormat="1" ht="31.5" hidden="1" x14ac:dyDescent="0.25">
      <c r="A17" s="183" t="s">
        <v>97</v>
      </c>
      <c r="B17" s="110"/>
      <c r="C17" s="180">
        <v>1010404000</v>
      </c>
      <c r="D17" s="98">
        <f>IFERROR(VLOOKUP($C17,'FC1-Pre TB 2024'!$C$10:$D$276,2,FALSE),0)</f>
        <v>0</v>
      </c>
      <c r="E17" s="98">
        <f>IFERROR(VLOOKUP($C17,'FC1-Pre TB 2024'!$C$10:$E$276,3,FALSE),0)</f>
        <v>0</v>
      </c>
      <c r="F17" s="303">
        <f t="shared" si="0"/>
        <v>0</v>
      </c>
      <c r="G17" s="97"/>
      <c r="H17" s="97"/>
      <c r="I17" s="97"/>
      <c r="J17" s="101"/>
      <c r="K17" s="97"/>
      <c r="L17" s="101"/>
      <c r="M17" s="101"/>
      <c r="N17" s="97"/>
      <c r="O17" s="97"/>
      <c r="P17" s="97"/>
      <c r="Q17" s="97"/>
      <c r="R17" s="101"/>
      <c r="S17" s="97"/>
    </row>
    <row r="18" spans="1:19" s="86" customFormat="1" hidden="1" x14ac:dyDescent="0.25">
      <c r="A18" s="183" t="s">
        <v>181</v>
      </c>
      <c r="B18" s="110"/>
      <c r="C18" s="180">
        <v>1010406000</v>
      </c>
      <c r="D18" s="98">
        <f>IFERROR(VLOOKUP($C18,'FC1-Pre TB 2024'!$C$10:$D$276,2,FALSE),0)</f>
        <v>0</v>
      </c>
      <c r="E18" s="98">
        <f>IFERROR(VLOOKUP($C18,'FC1-Pre TB 2024'!$C$10:$E$276,3,FALSE),0)</f>
        <v>0</v>
      </c>
      <c r="F18" s="303">
        <f t="shared" si="0"/>
        <v>0</v>
      </c>
      <c r="G18" s="97"/>
      <c r="H18" s="97"/>
      <c r="I18" s="97"/>
      <c r="J18" s="101"/>
      <c r="K18" s="101"/>
      <c r="L18" s="101"/>
      <c r="M18" s="101"/>
      <c r="N18" s="97"/>
      <c r="O18" s="97"/>
      <c r="P18" s="97"/>
      <c r="Q18" s="97"/>
      <c r="R18" s="101"/>
      <c r="S18" s="97"/>
    </row>
    <row r="19" spans="1:19" s="86" customFormat="1" hidden="1" x14ac:dyDescent="0.25">
      <c r="A19" s="183" t="s">
        <v>342</v>
      </c>
      <c r="B19" s="110"/>
      <c r="C19" s="180">
        <v>1010407000</v>
      </c>
      <c r="D19" s="98">
        <f>IFERROR(VLOOKUP($C19,'FC1-Pre TB 2024'!$C$10:$D$276,2,FALSE),0)</f>
        <v>0</v>
      </c>
      <c r="E19" s="98">
        <f>IFERROR(VLOOKUP($C19,'FC1-Pre TB 2024'!$C$10:$E$276,3,FALSE),0)</f>
        <v>0</v>
      </c>
      <c r="F19" s="303">
        <f t="shared" si="0"/>
        <v>0</v>
      </c>
      <c r="G19" s="97"/>
      <c r="H19" s="97"/>
      <c r="I19" s="97"/>
      <c r="J19" s="101"/>
      <c r="K19" s="101"/>
      <c r="L19" s="101"/>
      <c r="M19" s="101"/>
      <c r="N19" s="97"/>
      <c r="O19" s="97"/>
      <c r="P19" s="97"/>
      <c r="Q19" s="97"/>
      <c r="R19" s="101"/>
      <c r="S19" s="97"/>
    </row>
    <row r="20" spans="1:19" s="86" customFormat="1" hidden="1" x14ac:dyDescent="0.25">
      <c r="A20" s="183" t="s">
        <v>415</v>
      </c>
      <c r="B20" s="110"/>
      <c r="C20" s="180">
        <v>1010408000</v>
      </c>
      <c r="D20" s="98">
        <v>0</v>
      </c>
      <c r="E20" s="98">
        <f>IFERROR(VLOOKUP($C20,'FC1-Pre TB 2024'!$C$10:$E$276,3,FALSE),0)</f>
        <v>0</v>
      </c>
      <c r="F20" s="303">
        <f t="shared" si="0"/>
        <v>0</v>
      </c>
      <c r="G20" s="97"/>
      <c r="H20" s="97"/>
      <c r="I20" s="97"/>
      <c r="J20" s="101"/>
      <c r="K20" s="101"/>
      <c r="L20" s="101"/>
      <c r="M20" s="101"/>
      <c r="N20" s="97"/>
      <c r="O20" s="97"/>
      <c r="P20" s="97"/>
      <c r="Q20" s="97"/>
      <c r="R20" s="101"/>
      <c r="S20" s="97"/>
    </row>
    <row r="21" spans="1:19" s="86" customFormat="1" hidden="1" x14ac:dyDescent="0.25">
      <c r="A21" s="183" t="s">
        <v>390</v>
      </c>
      <c r="B21" s="110"/>
      <c r="C21" s="180">
        <v>1010409000</v>
      </c>
      <c r="D21" s="98">
        <f>IFERROR(VLOOKUP($C21,'FC1-Pre TB 2024'!$C$10:$D$276,2,FALSE),0)</f>
        <v>0</v>
      </c>
      <c r="E21" s="98">
        <v>0</v>
      </c>
      <c r="F21" s="303">
        <f t="shared" si="0"/>
        <v>0</v>
      </c>
      <c r="G21" s="97"/>
      <c r="H21" s="97"/>
      <c r="I21" s="97"/>
      <c r="J21" s="101"/>
      <c r="K21" s="101"/>
      <c r="L21" s="101"/>
      <c r="M21" s="101"/>
      <c r="N21" s="97"/>
      <c r="O21" s="97"/>
      <c r="P21" s="97"/>
      <c r="Q21" s="97"/>
      <c r="R21" s="101"/>
      <c r="S21" s="97"/>
    </row>
    <row r="22" spans="1:19" s="86" customFormat="1" hidden="1" x14ac:dyDescent="0.25">
      <c r="A22" s="183" t="s">
        <v>20</v>
      </c>
      <c r="B22" s="110"/>
      <c r="C22" s="180">
        <v>1020399000</v>
      </c>
      <c r="D22" s="98">
        <f>IFERROR(VLOOKUP($C22,'FC1-Pre TB 2024'!$C$10:$D$276,2,FALSE),0)</f>
        <v>0</v>
      </c>
      <c r="E22" s="98">
        <f>IFERROR(VLOOKUP($C22,'FC1-Pre TB 2024'!$C$10:$E$276,3,FALSE),0)</f>
        <v>0</v>
      </c>
      <c r="F22" s="303">
        <f t="shared" si="0"/>
        <v>0</v>
      </c>
      <c r="G22" s="97"/>
      <c r="H22" s="97"/>
      <c r="I22" s="97"/>
      <c r="J22" s="101"/>
      <c r="K22" s="97"/>
      <c r="L22" s="101"/>
      <c r="M22" s="101"/>
      <c r="N22" s="97"/>
      <c r="O22" s="97"/>
      <c r="P22" s="97"/>
      <c r="Q22" s="97"/>
      <c r="R22" s="101"/>
      <c r="S22" s="97"/>
    </row>
    <row r="23" spans="1:19" s="86" customFormat="1" hidden="1" x14ac:dyDescent="0.25">
      <c r="A23" s="183" t="s">
        <v>4</v>
      </c>
      <c r="B23" s="110"/>
      <c r="C23" s="180">
        <v>1030101000</v>
      </c>
      <c r="D23" s="98">
        <f>IFERROR(VLOOKUP($C23,'FC1-Pre TB 2024'!$C$10:$D$276,2,FALSE),0)</f>
        <v>0</v>
      </c>
      <c r="E23" s="98">
        <f>IFERROR(VLOOKUP($C23,'FC1-Pre TB 2024'!$C$10:$E$276,3,FALSE),0)</f>
        <v>0</v>
      </c>
      <c r="F23" s="303">
        <f t="shared" si="0"/>
        <v>0</v>
      </c>
      <c r="G23" s="97"/>
      <c r="H23" s="97"/>
      <c r="I23" s="97"/>
      <c r="J23" s="101"/>
      <c r="K23" s="101"/>
      <c r="L23" s="101"/>
      <c r="M23" s="101"/>
      <c r="N23" s="97"/>
      <c r="O23" s="97"/>
      <c r="P23" s="97"/>
      <c r="Q23" s="97"/>
      <c r="R23" s="101"/>
      <c r="S23" s="97"/>
    </row>
    <row r="24" spans="1:19" s="86" customFormat="1" hidden="1" x14ac:dyDescent="0.25">
      <c r="A24" s="183" t="s">
        <v>6</v>
      </c>
      <c r="B24" s="110"/>
      <c r="C24" s="180">
        <v>1030199000</v>
      </c>
      <c r="D24" s="98">
        <f>IFERROR(VLOOKUP($C24,'FC1-Pre TB 2024'!$C$10:$D$276,2,FALSE),0)</f>
        <v>0</v>
      </c>
      <c r="E24" s="98">
        <f>IFERROR(VLOOKUP($C24,'FC1-Pre TB 2024'!$C$10:$E$276,3,FALSE),0)</f>
        <v>0</v>
      </c>
      <c r="F24" s="303">
        <f t="shared" si="0"/>
        <v>0</v>
      </c>
      <c r="G24" s="97"/>
      <c r="H24" s="97"/>
      <c r="I24" s="97"/>
      <c r="J24" s="101"/>
      <c r="K24" s="101"/>
      <c r="L24" s="101"/>
      <c r="M24" s="101"/>
      <c r="N24" s="97"/>
      <c r="O24" s="97"/>
      <c r="P24" s="97"/>
      <c r="Q24" s="97"/>
      <c r="R24" s="101"/>
      <c r="S24" s="97"/>
    </row>
    <row r="25" spans="1:19" s="86" customFormat="1" hidden="1" x14ac:dyDescent="0.25">
      <c r="A25" s="183" t="s">
        <v>242</v>
      </c>
      <c r="B25" s="110"/>
      <c r="C25" s="180">
        <v>1030301000</v>
      </c>
      <c r="D25" s="98">
        <f>IFERROR(VLOOKUP($C25,'FC1-Pre TB 2024'!$C$10:$D$276,2,FALSE),0)</f>
        <v>0</v>
      </c>
      <c r="E25" s="98">
        <f>IFERROR(VLOOKUP($C25,'FC1-Pre TB 2024'!$C$10:$E$276,3,FALSE),0)</f>
        <v>0</v>
      </c>
      <c r="F25" s="303">
        <f t="shared" si="0"/>
        <v>0</v>
      </c>
      <c r="G25" s="97"/>
      <c r="H25" s="97"/>
      <c r="I25" s="97"/>
      <c r="J25" s="101"/>
      <c r="K25" s="101"/>
      <c r="L25" s="101"/>
      <c r="M25" s="101"/>
      <c r="N25" s="97"/>
      <c r="O25" s="97"/>
      <c r="P25" s="97"/>
      <c r="Q25" s="97"/>
      <c r="R25" s="101"/>
      <c r="S25" s="97"/>
    </row>
    <row r="26" spans="1:19" s="86" customFormat="1" hidden="1" x14ac:dyDescent="0.25">
      <c r="A26" s="183" t="s">
        <v>8</v>
      </c>
      <c r="B26" s="110"/>
      <c r="C26" s="180">
        <v>1030302000</v>
      </c>
      <c r="D26" s="98">
        <f>IFERROR(VLOOKUP($C26,'FC1-Pre TB 2024'!$C$10:$D$276,2,FALSE),0)</f>
        <v>0</v>
      </c>
      <c r="E26" s="98">
        <f>IFERROR(VLOOKUP($C26,'FC1-Pre TB 2024'!$C$10:$E$276,3,FALSE),0)</f>
        <v>0</v>
      </c>
      <c r="F26" s="303">
        <f t="shared" si="0"/>
        <v>0</v>
      </c>
      <c r="G26" s="97"/>
      <c r="H26" s="97"/>
      <c r="I26" s="97"/>
      <c r="J26" s="101"/>
      <c r="K26" s="101"/>
      <c r="L26" s="101"/>
      <c r="M26" s="101"/>
      <c r="N26" s="97"/>
      <c r="O26" s="97"/>
      <c r="P26" s="97"/>
      <c r="Q26" s="97"/>
      <c r="R26" s="101"/>
      <c r="S26" s="97"/>
    </row>
    <row r="27" spans="1:19" s="86" customFormat="1" x14ac:dyDescent="0.25">
      <c r="A27" s="183" t="s">
        <v>241</v>
      </c>
      <c r="B27" s="110"/>
      <c r="C27" s="180">
        <v>1030303000</v>
      </c>
      <c r="D27" s="98">
        <f>IFERROR(VLOOKUP($C27,'FC1-Pre TB 2024'!$C$10:$D$276,2,FALSE),0)</f>
        <v>392342147.19999999</v>
      </c>
      <c r="E27" s="98">
        <f>IFERROR(VLOOKUP($C27,'FC1-Pre TB 2024'!$C$10:$E$276,3,FALSE),0)</f>
        <v>0</v>
      </c>
      <c r="F27" s="303">
        <f t="shared" si="0"/>
        <v>392342147.19999999</v>
      </c>
      <c r="G27" s="97"/>
      <c r="H27" s="97"/>
      <c r="I27" s="97"/>
      <c r="J27" s="101"/>
      <c r="K27" s="101"/>
      <c r="L27" s="101"/>
      <c r="M27" s="101"/>
      <c r="N27" s="97"/>
      <c r="O27" s="97"/>
      <c r="P27" s="97"/>
      <c r="Q27" s="97"/>
      <c r="R27" s="101"/>
      <c r="S27" s="97"/>
    </row>
    <row r="28" spans="1:19" s="86" customFormat="1" hidden="1" x14ac:dyDescent="0.25">
      <c r="A28" s="183" t="s">
        <v>11</v>
      </c>
      <c r="B28" s="110"/>
      <c r="C28" s="180">
        <v>1030405000</v>
      </c>
      <c r="D28" s="98">
        <f>IFERROR(VLOOKUP($C28,'FC1-Pre TB 2024'!$C$10:$D$276,2,FALSE),0)</f>
        <v>0</v>
      </c>
      <c r="E28" s="98">
        <f>IFERROR(VLOOKUP($C28,'FC1-Pre TB 2024'!$C$10:$E$276,3,FALSE),0)</f>
        <v>0</v>
      </c>
      <c r="F28" s="303">
        <f t="shared" si="0"/>
        <v>0</v>
      </c>
      <c r="G28" s="97"/>
      <c r="H28" s="97"/>
      <c r="I28" s="97"/>
      <c r="J28" s="101"/>
      <c r="K28" s="101"/>
      <c r="L28" s="101"/>
      <c r="M28" s="101"/>
      <c r="N28" s="97"/>
      <c r="O28" s="97"/>
      <c r="P28" s="97"/>
      <c r="Q28" s="97"/>
      <c r="R28" s="101"/>
      <c r="S28" s="97"/>
    </row>
    <row r="29" spans="1:19" s="86" customFormat="1" hidden="1" x14ac:dyDescent="0.25">
      <c r="A29" s="183" t="s">
        <v>385</v>
      </c>
      <c r="B29" s="110"/>
      <c r="C29" s="180">
        <v>1030501000</v>
      </c>
      <c r="D29" s="98">
        <f>IFERROR(VLOOKUP($C29,'FC1-Pre TB 2024'!$C$10:$D$276,2,FALSE),0)</f>
        <v>0</v>
      </c>
      <c r="E29" s="98">
        <f>IFERROR(VLOOKUP($C29,'FC1-Pre TB 2024'!$C$10:$E$276,3,FALSE),0)</f>
        <v>0</v>
      </c>
      <c r="F29" s="303">
        <f t="shared" si="0"/>
        <v>0</v>
      </c>
      <c r="G29" s="97"/>
      <c r="H29" s="97"/>
      <c r="I29" s="97"/>
      <c r="J29" s="101"/>
      <c r="K29" s="101"/>
      <c r="L29" s="101"/>
      <c r="M29" s="101"/>
      <c r="N29" s="97"/>
      <c r="O29" s="97"/>
      <c r="P29" s="97"/>
      <c r="Q29" s="97"/>
      <c r="R29" s="101"/>
      <c r="S29" s="97"/>
    </row>
    <row r="30" spans="1:19" s="86" customFormat="1" x14ac:dyDescent="0.25">
      <c r="A30" s="183" t="s">
        <v>5</v>
      </c>
      <c r="B30" s="110"/>
      <c r="C30" s="180">
        <v>1039902000</v>
      </c>
      <c r="D30" s="98">
        <f>IFERROR(VLOOKUP($C30,'FC1-Pre TB 2024'!$C$10:$D$276,2,FALSE),0)</f>
        <v>1500</v>
      </c>
      <c r="E30" s="98">
        <f>IFERROR(VLOOKUP($C30,'FC1-Pre TB 2024'!$C$10:$E$276,3,FALSE),0)</f>
        <v>0</v>
      </c>
      <c r="F30" s="303">
        <f t="shared" si="0"/>
        <v>1500</v>
      </c>
      <c r="G30" s="97"/>
      <c r="H30" s="97"/>
      <c r="I30" s="97"/>
      <c r="J30" s="101"/>
      <c r="K30" s="101"/>
      <c r="L30" s="101"/>
      <c r="M30" s="101"/>
      <c r="N30" s="97"/>
      <c r="O30" s="97"/>
      <c r="P30" s="97"/>
      <c r="Q30" s="97"/>
      <c r="R30" s="101"/>
      <c r="S30" s="97"/>
    </row>
    <row r="31" spans="1:19" s="86" customFormat="1" ht="31.5" x14ac:dyDescent="0.25">
      <c r="A31" s="183" t="s">
        <v>487</v>
      </c>
      <c r="B31" s="94"/>
      <c r="C31" s="180">
        <v>1039903000</v>
      </c>
      <c r="D31" s="98">
        <f>IFERROR(VLOOKUP($C31,'FC1-Pre TB 2024'!$C$10:$D$276,2,FALSE),0)</f>
        <v>28436934.66</v>
      </c>
      <c r="E31" s="98">
        <f>IFERROR(VLOOKUP($C31,'FC1-Pre TB 2024'!$C$10:$E$276,3,FALSE),0)</f>
        <v>0</v>
      </c>
      <c r="F31" s="303">
        <f t="shared" si="0"/>
        <v>28436934.66</v>
      </c>
      <c r="G31" s="97"/>
      <c r="H31" s="97"/>
      <c r="I31" s="97"/>
      <c r="J31" s="101"/>
      <c r="K31" s="101"/>
      <c r="L31" s="101"/>
      <c r="M31" s="101"/>
      <c r="N31" s="97"/>
      <c r="O31" s="97"/>
      <c r="P31" s="97"/>
      <c r="Q31" s="97"/>
      <c r="R31" s="101"/>
      <c r="S31" s="97"/>
    </row>
    <row r="32" spans="1:19" s="86" customFormat="1" hidden="1" x14ac:dyDescent="0.25">
      <c r="A32" s="183" t="s">
        <v>13</v>
      </c>
      <c r="B32" s="94"/>
      <c r="C32" s="180">
        <v>1039999000</v>
      </c>
      <c r="D32" s="98">
        <f>IFERROR(VLOOKUP($C32,'FC1-Pre TB 2024'!$C$10:$D$276,2,FALSE),0)</f>
        <v>0</v>
      </c>
      <c r="E32" s="98">
        <f>IFERROR(VLOOKUP($C32,'FC1-Pre TB 2024'!$C$10:$E$276,3,FALSE),0)</f>
        <v>0</v>
      </c>
      <c r="F32" s="303">
        <f t="shared" si="0"/>
        <v>0</v>
      </c>
      <c r="G32" s="97"/>
      <c r="H32" s="97"/>
      <c r="I32" s="97"/>
      <c r="J32" s="101"/>
      <c r="K32" s="101"/>
      <c r="L32" s="101"/>
      <c r="M32" s="101"/>
      <c r="N32" s="97"/>
      <c r="O32" s="97"/>
      <c r="P32" s="97"/>
      <c r="Q32" s="97"/>
      <c r="R32" s="101"/>
      <c r="S32" s="97"/>
    </row>
    <row r="33" spans="1:19" s="86" customFormat="1" x14ac:dyDescent="0.25">
      <c r="A33" s="183" t="s">
        <v>240</v>
      </c>
      <c r="B33" s="110"/>
      <c r="C33" s="180">
        <v>1040202000</v>
      </c>
      <c r="D33" s="98">
        <f>IFERROR(VLOOKUP($C33,'FC1-Pre TB 2024'!$C$10:$D$276,2,FALSE),0)</f>
        <v>90552093.180000007</v>
      </c>
      <c r="E33" s="98">
        <f>IFERROR(VLOOKUP($C33,'FC1-Pre TB 2024'!$C$10:$E$276,3,FALSE),0)</f>
        <v>0</v>
      </c>
      <c r="F33" s="303">
        <f t="shared" si="0"/>
        <v>90552093.180000007</v>
      </c>
      <c r="G33" s="97"/>
      <c r="H33" s="97"/>
      <c r="I33" s="97"/>
      <c r="J33" s="101"/>
      <c r="K33" s="101"/>
      <c r="L33" s="101"/>
      <c r="M33" s="101"/>
      <c r="N33" s="97"/>
      <c r="O33" s="97"/>
      <c r="P33" s="97"/>
      <c r="Q33" s="97"/>
      <c r="R33" s="101"/>
      <c r="S33" s="97"/>
    </row>
    <row r="34" spans="1:19" s="86" customFormat="1" ht="31.5" x14ac:dyDescent="0.25">
      <c r="A34" s="183" t="s">
        <v>239</v>
      </c>
      <c r="B34" s="110"/>
      <c r="C34" s="180">
        <v>1040204000</v>
      </c>
      <c r="D34" s="98">
        <f>IFERROR(VLOOKUP($C34,'FC1-Pre TB 2024'!$C$10:$D$276,2,FALSE),0)</f>
        <v>79220</v>
      </c>
      <c r="E34" s="98">
        <f>IFERROR(VLOOKUP($C34,'FC1-Pre TB 2024'!$C$10:$E$276,3,FALSE),0)</f>
        <v>0</v>
      </c>
      <c r="F34" s="303">
        <f t="shared" si="0"/>
        <v>79220</v>
      </c>
      <c r="G34" s="97"/>
      <c r="H34" s="97"/>
      <c r="I34" s="97"/>
      <c r="J34" s="101"/>
      <c r="K34" s="101"/>
      <c r="L34" s="101"/>
      <c r="M34" s="101"/>
      <c r="N34" s="97"/>
      <c r="O34" s="97"/>
      <c r="P34" s="97"/>
      <c r="Q34" s="97"/>
      <c r="R34" s="101"/>
      <c r="S34" s="97"/>
    </row>
    <row r="35" spans="1:19" s="86" customFormat="1" x14ac:dyDescent="0.25">
      <c r="A35" s="183" t="s">
        <v>238</v>
      </c>
      <c r="B35" s="110"/>
      <c r="C35" s="180">
        <v>1040299000</v>
      </c>
      <c r="D35" s="98">
        <f>IFERROR(VLOOKUP($C35,'FC1-Pre TB 2024'!$C$10:$D$276,2,FALSE),0)</f>
        <v>106254872.28</v>
      </c>
      <c r="E35" s="98">
        <f>IFERROR(VLOOKUP($C35,'FC1-Pre TB 2024'!$C$10:$E$276,3,FALSE),0)</f>
        <v>0</v>
      </c>
      <c r="F35" s="303">
        <f t="shared" si="0"/>
        <v>106254872.28</v>
      </c>
      <c r="G35" s="97"/>
      <c r="H35" s="97"/>
      <c r="I35" s="97"/>
      <c r="J35" s="101"/>
      <c r="K35" s="101"/>
      <c r="L35" s="101"/>
      <c r="M35" s="101"/>
      <c r="N35" s="97"/>
      <c r="O35" s="97"/>
      <c r="P35" s="97"/>
      <c r="Q35" s="97"/>
      <c r="R35" s="101"/>
      <c r="S35" s="97"/>
    </row>
    <row r="36" spans="1:19" s="86" customFormat="1" x14ac:dyDescent="0.25">
      <c r="A36" s="183" t="s">
        <v>14</v>
      </c>
      <c r="B36" s="110"/>
      <c r="C36" s="180">
        <v>1040401000</v>
      </c>
      <c r="D36" s="98">
        <f>IFERROR(VLOOKUP($C36,'FC1-Pre TB 2024'!$C$10:$D$276,2,FALSE),0)</f>
        <v>3103412.7</v>
      </c>
      <c r="E36" s="98">
        <f>IFERROR(VLOOKUP($C36,'FC1-Pre TB 2024'!$C$10:$E$276,3,FALSE),0)</f>
        <v>0</v>
      </c>
      <c r="F36" s="303">
        <f t="shared" si="0"/>
        <v>3103412.7</v>
      </c>
      <c r="G36" s="97"/>
      <c r="H36" s="97"/>
      <c r="I36" s="97"/>
      <c r="J36" s="101"/>
      <c r="K36" s="101"/>
      <c r="L36" s="101"/>
      <c r="M36" s="101"/>
      <c r="N36" s="97"/>
      <c r="O36" s="97"/>
      <c r="P36" s="97"/>
      <c r="Q36" s="97"/>
      <c r="R36" s="101"/>
      <c r="S36" s="97"/>
    </row>
    <row r="37" spans="1:19" s="86" customFormat="1" x14ac:dyDescent="0.25">
      <c r="A37" s="183" t="s">
        <v>15</v>
      </c>
      <c r="B37" s="110"/>
      <c r="C37" s="180">
        <v>1040405000</v>
      </c>
      <c r="D37" s="98">
        <f>IFERROR(VLOOKUP($C37,'FC1-Pre TB 2024'!$C$10:$D$276,2,FALSE),0)</f>
        <v>10310298.550000001</v>
      </c>
      <c r="E37" s="98">
        <f>IFERROR(VLOOKUP($C37,'FC1-Pre TB 2024'!$C$10:$E$276,3,FALSE),0)</f>
        <v>0</v>
      </c>
      <c r="F37" s="303">
        <f t="shared" si="0"/>
        <v>10310298.550000001</v>
      </c>
      <c r="G37" s="97"/>
      <c r="H37" s="97"/>
      <c r="I37" s="97"/>
      <c r="J37" s="101"/>
      <c r="K37" s="101"/>
      <c r="L37" s="101"/>
      <c r="M37" s="101"/>
      <c r="N37" s="97"/>
      <c r="O37" s="97"/>
      <c r="P37" s="97"/>
      <c r="Q37" s="97"/>
      <c r="R37" s="101"/>
      <c r="S37" s="97"/>
    </row>
    <row r="38" spans="1:19" s="86" customFormat="1" x14ac:dyDescent="0.25">
      <c r="A38" s="183" t="s">
        <v>16</v>
      </c>
      <c r="B38" s="110"/>
      <c r="C38" s="180">
        <v>1040406000</v>
      </c>
      <c r="D38" s="98">
        <f>IFERROR(VLOOKUP($C38,'FC1-Pre TB 2024'!$C$10:$D$276,2,FALSE),0)</f>
        <v>365376.47</v>
      </c>
      <c r="E38" s="98">
        <f>IFERROR(VLOOKUP($C38,'FC1-Pre TB 2024'!$C$10:$E$276,3,FALSE),0)</f>
        <v>0</v>
      </c>
      <c r="F38" s="303">
        <f t="shared" si="0"/>
        <v>365376.47</v>
      </c>
      <c r="G38" s="97"/>
      <c r="H38" s="97"/>
      <c r="I38" s="97"/>
      <c r="J38" s="101"/>
      <c r="K38" s="101"/>
      <c r="L38" s="101"/>
      <c r="M38" s="101"/>
      <c r="N38" s="97"/>
      <c r="O38" s="97"/>
      <c r="P38" s="97"/>
      <c r="Q38" s="97"/>
      <c r="R38" s="101"/>
      <c r="S38" s="97"/>
    </row>
    <row r="39" spans="1:19" s="86" customFormat="1" x14ac:dyDescent="0.25">
      <c r="A39" s="183" t="s">
        <v>377</v>
      </c>
      <c r="B39" s="110"/>
      <c r="C39" s="180">
        <v>1040407000</v>
      </c>
      <c r="D39" s="98">
        <f>IFERROR(VLOOKUP($C39,'FC1-Pre TB 2024'!$C$10:$D$276,2,FALSE),0)</f>
        <v>688133.12</v>
      </c>
      <c r="E39" s="98">
        <f>IFERROR(VLOOKUP($C39,'FC1-Pre TB 2024'!$C$10:$E$276,3,FALSE),0)</f>
        <v>0</v>
      </c>
      <c r="F39" s="303">
        <f t="shared" si="0"/>
        <v>688133.12</v>
      </c>
      <c r="G39" s="97"/>
      <c r="H39" s="97"/>
      <c r="I39" s="97"/>
      <c r="J39" s="101"/>
      <c r="K39" s="101"/>
      <c r="L39" s="101"/>
      <c r="M39" s="101"/>
      <c r="N39" s="97"/>
      <c r="O39" s="97"/>
      <c r="P39" s="97"/>
      <c r="Q39" s="97"/>
      <c r="R39" s="101"/>
      <c r="S39" s="97"/>
    </row>
    <row r="40" spans="1:19" s="86" customFormat="1" x14ac:dyDescent="0.25">
      <c r="A40" s="183" t="s">
        <v>237</v>
      </c>
      <c r="B40" s="110"/>
      <c r="C40" s="180">
        <v>1040408000</v>
      </c>
      <c r="D40" s="98">
        <f>IFERROR(VLOOKUP($C40,'FC1-Pre TB 2024'!$C$10:$D$276,2,FALSE),0)</f>
        <v>75000</v>
      </c>
      <c r="E40" s="98">
        <f>IFERROR(VLOOKUP($C40,'FC1-Pre TB 2024'!$C$10:$E$276,3,FALSE),0)</f>
        <v>0</v>
      </c>
      <c r="F40" s="303">
        <f t="shared" si="0"/>
        <v>75000</v>
      </c>
      <c r="G40" s="97"/>
      <c r="H40" s="97"/>
      <c r="I40" s="97"/>
      <c r="J40" s="101"/>
      <c r="K40" s="101"/>
      <c r="L40" s="101"/>
      <c r="M40" s="101"/>
      <c r="N40" s="97"/>
      <c r="O40" s="97"/>
      <c r="P40" s="97"/>
      <c r="Q40" s="97"/>
      <c r="R40" s="101"/>
      <c r="S40" s="97"/>
    </row>
    <row r="41" spans="1:19" s="86" customFormat="1" hidden="1" x14ac:dyDescent="0.25">
      <c r="A41" s="183" t="s">
        <v>18</v>
      </c>
      <c r="B41" s="110"/>
      <c r="C41" s="180">
        <v>1040413000</v>
      </c>
      <c r="D41" s="98">
        <f>IFERROR(VLOOKUP($C41,'FC1-Pre TB 2024'!$C$10:$D$276,2,FALSE),0)</f>
        <v>0</v>
      </c>
      <c r="E41" s="98">
        <f>IFERROR(VLOOKUP($C41,'FC1-Pre TB 2024'!$C$10:$E$276,3,FALSE),0)</f>
        <v>0</v>
      </c>
      <c r="F41" s="303">
        <f t="shared" si="0"/>
        <v>0</v>
      </c>
      <c r="G41" s="97"/>
      <c r="H41" s="97"/>
      <c r="I41" s="97"/>
      <c r="J41" s="101"/>
      <c r="K41" s="101"/>
      <c r="L41" s="101"/>
      <c r="M41" s="101"/>
      <c r="N41" s="97"/>
      <c r="O41" s="97"/>
      <c r="P41" s="97"/>
      <c r="Q41" s="97"/>
      <c r="R41" s="101"/>
      <c r="S41" s="97"/>
    </row>
    <row r="42" spans="1:19" s="86" customFormat="1" x14ac:dyDescent="0.25">
      <c r="A42" s="183" t="s">
        <v>538</v>
      </c>
      <c r="B42" s="110"/>
      <c r="C42" s="180">
        <v>1040499000</v>
      </c>
      <c r="D42" s="98">
        <f>IFERROR(VLOOKUP($C42,'FC1-Pre TB 2024'!$C$10:$D$276,2,FALSE),0)</f>
        <v>3027097.69</v>
      </c>
      <c r="E42" s="98">
        <f>IFERROR(VLOOKUP($C42,'FC1-Pre TB 2024'!$C$10:$E$276,3,FALSE),0)</f>
        <v>0</v>
      </c>
      <c r="F42" s="303">
        <f t="shared" si="0"/>
        <v>3027097.69</v>
      </c>
      <c r="G42" s="97"/>
      <c r="H42" s="97"/>
      <c r="I42" s="97"/>
      <c r="J42" s="101"/>
      <c r="K42" s="101"/>
      <c r="L42" s="101"/>
      <c r="M42" s="101"/>
      <c r="N42" s="97"/>
      <c r="O42" s="97"/>
      <c r="P42" s="97"/>
      <c r="Q42" s="97"/>
      <c r="R42" s="101"/>
      <c r="S42" s="97"/>
    </row>
    <row r="43" spans="1:19" s="86" customFormat="1" hidden="1" x14ac:dyDescent="0.25">
      <c r="A43" s="183" t="s">
        <v>344</v>
      </c>
      <c r="B43" s="110"/>
      <c r="C43" s="180">
        <v>1040501000</v>
      </c>
      <c r="D43" s="98">
        <f>IFERROR(VLOOKUP($C43,'FC1-Pre TB 2024'!$C$10:$D$276,2,FALSE),0)</f>
        <v>0</v>
      </c>
      <c r="E43" s="98">
        <f>IFERROR(VLOOKUP($C43,'FC1-Pre TB 2024'!$C$10:$E$276,3,FALSE),0)</f>
        <v>0</v>
      </c>
      <c r="F43" s="303">
        <f t="shared" si="0"/>
        <v>0</v>
      </c>
      <c r="G43" s="97"/>
      <c r="H43" s="97"/>
      <c r="I43" s="97"/>
      <c r="J43" s="101"/>
      <c r="K43" s="97"/>
      <c r="L43" s="101"/>
      <c r="M43" s="101"/>
      <c r="N43" s="97"/>
      <c r="O43" s="97"/>
      <c r="P43" s="97"/>
      <c r="Q43" s="97"/>
      <c r="R43" s="101"/>
      <c r="S43" s="97"/>
    </row>
    <row r="44" spans="1:19" s="86" customFormat="1" x14ac:dyDescent="0.25">
      <c r="A44" s="183" t="s">
        <v>345</v>
      </c>
      <c r="B44" s="110"/>
      <c r="C44" s="180">
        <v>1040502000</v>
      </c>
      <c r="D44" s="98">
        <f>IFERROR(VLOOKUP($C44,'FC1-Pre TB 2024'!$C$10:$D$276,2,FALSE),0)</f>
        <v>135898</v>
      </c>
      <c r="E44" s="98">
        <f>IFERROR(VLOOKUP($C44,'FC1-Pre TB 2024'!$C$10:$E$276,3,FALSE),0)</f>
        <v>0</v>
      </c>
      <c r="F44" s="303">
        <f t="shared" si="0"/>
        <v>135898</v>
      </c>
      <c r="G44" s="97"/>
      <c r="H44" s="97"/>
      <c r="I44" s="97"/>
      <c r="J44" s="101"/>
      <c r="K44" s="97"/>
      <c r="L44" s="101"/>
      <c r="M44" s="101"/>
      <c r="N44" s="97"/>
      <c r="O44" s="97"/>
      <c r="P44" s="97"/>
      <c r="Q44" s="97"/>
      <c r="R44" s="101"/>
      <c r="S44" s="97"/>
    </row>
    <row r="45" spans="1:19" s="86" customFormat="1" ht="31.5" x14ac:dyDescent="0.25">
      <c r="A45" s="183" t="s">
        <v>346</v>
      </c>
      <c r="B45" s="110"/>
      <c r="C45" s="180">
        <v>1040503000</v>
      </c>
      <c r="D45" s="98">
        <f>IFERROR(VLOOKUP($C45,'FC1-Pre TB 2024'!$C$10:$D$276,2,FALSE),0)</f>
        <v>3545933.87</v>
      </c>
      <c r="E45" s="98">
        <f>IFERROR(VLOOKUP($C45,'FC1-Pre TB 2024'!$C$10:$E$276,3,FALSE),0)</f>
        <v>0</v>
      </c>
      <c r="F45" s="303">
        <f t="shared" si="0"/>
        <v>3545933.87</v>
      </c>
      <c r="G45" s="97"/>
      <c r="H45" s="97"/>
      <c r="I45" s="97"/>
      <c r="J45" s="101"/>
      <c r="K45" s="97"/>
      <c r="L45" s="101"/>
      <c r="M45" s="101"/>
      <c r="N45" s="97"/>
      <c r="O45" s="97"/>
      <c r="P45" s="97"/>
      <c r="Q45" s="97"/>
      <c r="R45" s="101"/>
      <c r="S45" s="97"/>
    </row>
    <row r="46" spans="1:19" s="86" customFormat="1" x14ac:dyDescent="0.25">
      <c r="A46" s="183" t="s">
        <v>367</v>
      </c>
      <c r="B46" s="110"/>
      <c r="C46" s="180">
        <v>1040507000</v>
      </c>
      <c r="D46" s="98">
        <f>IFERROR(VLOOKUP($C46,'FC1-Pre TB 2024'!$C$10:$D$276,2,FALSE),0)</f>
        <v>8490</v>
      </c>
      <c r="E46" s="98">
        <f>IFERROR(VLOOKUP($C46,'FC1-Pre TB 2024'!$C$10:$E$276,3,FALSE),0)</f>
        <v>0</v>
      </c>
      <c r="F46" s="303">
        <f t="shared" si="0"/>
        <v>8490</v>
      </c>
      <c r="G46" s="97"/>
      <c r="H46" s="97"/>
      <c r="I46" s="97"/>
      <c r="J46" s="101"/>
      <c r="K46" s="101"/>
      <c r="L46" s="101"/>
      <c r="M46" s="101"/>
      <c r="N46" s="97"/>
      <c r="O46" s="97"/>
      <c r="P46" s="97"/>
      <c r="Q46" s="97"/>
      <c r="R46" s="101"/>
      <c r="S46" s="97"/>
    </row>
    <row r="47" spans="1:19" s="86" customFormat="1" x14ac:dyDescent="0.25">
      <c r="A47" s="183" t="s">
        <v>347</v>
      </c>
      <c r="B47" s="110"/>
      <c r="C47" s="180">
        <v>1040510000</v>
      </c>
      <c r="D47" s="98">
        <f>IFERROR(VLOOKUP($C47,'FC1-Pre TB 2024'!$C$10:$D$276,2,FALSE),0)</f>
        <v>3900</v>
      </c>
      <c r="E47" s="98">
        <f>IFERROR(VLOOKUP($C47,'FC1-Pre TB 2024'!$C$10:$E$276,3,FALSE),0)</f>
        <v>0</v>
      </c>
      <c r="F47" s="303">
        <f t="shared" si="0"/>
        <v>3900</v>
      </c>
      <c r="G47" s="97"/>
      <c r="H47" s="97"/>
      <c r="I47" s="97"/>
      <c r="J47" s="101"/>
      <c r="K47" s="97"/>
      <c r="L47" s="101"/>
      <c r="M47" s="101"/>
      <c r="N47" s="97"/>
      <c r="O47" s="97"/>
      <c r="P47" s="97"/>
      <c r="Q47" s="97"/>
      <c r="R47" s="101"/>
      <c r="S47" s="97"/>
    </row>
    <row r="48" spans="1:19" s="86" customFormat="1" hidden="1" x14ac:dyDescent="0.25">
      <c r="A48" s="183" t="s">
        <v>348</v>
      </c>
      <c r="B48" s="110"/>
      <c r="C48" s="180">
        <v>1040512000</v>
      </c>
      <c r="D48" s="98">
        <f>IFERROR(VLOOKUP($C48,'FC1-Pre TB 2024'!$C$10:$D$276,2,FALSE),0)</f>
        <v>0</v>
      </c>
      <c r="E48" s="98">
        <f>IFERROR(VLOOKUP($C48,'FC1-Pre TB 2024'!$C$10:$E$276,3,FALSE),0)</f>
        <v>0</v>
      </c>
      <c r="F48" s="303">
        <f t="shared" si="0"/>
        <v>0</v>
      </c>
      <c r="G48" s="97"/>
      <c r="H48" s="97"/>
      <c r="I48" s="97"/>
      <c r="J48" s="101"/>
      <c r="K48" s="97"/>
      <c r="L48" s="101"/>
      <c r="M48" s="101"/>
      <c r="N48" s="97"/>
      <c r="O48" s="97"/>
      <c r="P48" s="97"/>
      <c r="Q48" s="97"/>
      <c r="R48" s="101"/>
      <c r="S48" s="97"/>
    </row>
    <row r="49" spans="1:19" s="86" customFormat="1" hidden="1" x14ac:dyDescent="0.25">
      <c r="A49" s="183" t="s">
        <v>349</v>
      </c>
      <c r="B49" s="94"/>
      <c r="C49" s="180">
        <v>1040513000</v>
      </c>
      <c r="D49" s="98">
        <f>IFERROR(VLOOKUP($C49,'FC1-Pre TB 2024'!$C$10:$D$276,2,FALSE),0)</f>
        <v>0</v>
      </c>
      <c r="E49" s="98">
        <f>IFERROR(VLOOKUP($C49,'FC1-Pre TB 2024'!$C$10:$E$276,3,FALSE),0)</f>
        <v>0</v>
      </c>
      <c r="F49" s="303">
        <f t="shared" si="0"/>
        <v>0</v>
      </c>
      <c r="G49" s="97"/>
      <c r="H49" s="97"/>
      <c r="I49" s="97"/>
      <c r="J49" s="101"/>
      <c r="K49" s="97"/>
      <c r="L49" s="101"/>
      <c r="M49" s="101"/>
      <c r="N49" s="97"/>
      <c r="O49" s="97"/>
      <c r="P49" s="97"/>
      <c r="Q49" s="97"/>
      <c r="R49" s="101"/>
      <c r="S49" s="97"/>
    </row>
    <row r="50" spans="1:19" s="86" customFormat="1" x14ac:dyDescent="0.25">
      <c r="A50" s="183" t="s">
        <v>488</v>
      </c>
      <c r="B50" s="110"/>
      <c r="C50" s="180">
        <v>1040599000</v>
      </c>
      <c r="D50" s="98">
        <f>IFERROR(VLOOKUP($C50,'FC1-Pre TB 2024'!$C$10:$D$276,2,FALSE),0)</f>
        <v>25570</v>
      </c>
      <c r="E50" s="98">
        <f>IFERROR(VLOOKUP($C50,'FC1-Pre TB 2024'!$C$10:$E$276,3,FALSE),0)</f>
        <v>0</v>
      </c>
      <c r="F50" s="303">
        <f t="shared" si="0"/>
        <v>25570</v>
      </c>
      <c r="G50" s="97"/>
      <c r="H50" s="97"/>
      <c r="I50" s="97"/>
      <c r="J50" s="101"/>
      <c r="K50" s="97"/>
      <c r="L50" s="101"/>
      <c r="M50" s="101"/>
      <c r="N50" s="97"/>
      <c r="O50" s="97"/>
      <c r="P50" s="97"/>
      <c r="Q50" s="97"/>
      <c r="R50" s="101"/>
      <c r="S50" s="97"/>
    </row>
    <row r="51" spans="1:19" s="86" customFormat="1" x14ac:dyDescent="0.25">
      <c r="A51" s="183" t="s">
        <v>350</v>
      </c>
      <c r="B51" s="110"/>
      <c r="C51" s="180">
        <v>1040601000</v>
      </c>
      <c r="D51" s="98">
        <f>IFERROR(VLOOKUP($C51,'FC1-Pre TB 2024'!$C$10:$D$276,2,FALSE),0)</f>
        <v>752978.5</v>
      </c>
      <c r="E51" s="98">
        <f>IFERROR(VLOOKUP($C51,'FC1-Pre TB 2024'!$C$10:$E$276,3,FALSE),0)</f>
        <v>0</v>
      </c>
      <c r="F51" s="303">
        <f t="shared" si="0"/>
        <v>752978.5</v>
      </c>
      <c r="G51" s="97"/>
      <c r="H51" s="97">
        <f>SUM(F91:F95)+SUM(F10:F51)</f>
        <v>685883628.6400001</v>
      </c>
      <c r="I51" s="97"/>
      <c r="J51" s="101"/>
      <c r="K51" s="101"/>
      <c r="L51" s="101"/>
      <c r="M51" s="101"/>
      <c r="N51" s="97"/>
      <c r="O51" s="97"/>
      <c r="P51" s="97"/>
      <c r="Q51" s="97"/>
      <c r="R51" s="101"/>
      <c r="S51" s="97"/>
    </row>
    <row r="52" spans="1:19" s="86" customFormat="1" x14ac:dyDescent="0.25">
      <c r="A52" s="183" t="s">
        <v>21</v>
      </c>
      <c r="B52" s="110"/>
      <c r="C52" s="180">
        <v>1060101000</v>
      </c>
      <c r="D52" s="98">
        <f>IFERROR(VLOOKUP($C52,'FC1-Pre TB 2024'!$C$10:$D$276,2,FALSE),0)</f>
        <v>13914630</v>
      </c>
      <c r="E52" s="98">
        <f>IFERROR(VLOOKUP($C52,'FC1-Pre TB 2024'!$C$10:$E$276,3,FALSE),0)</f>
        <v>0</v>
      </c>
      <c r="F52" s="303">
        <f t="shared" si="0"/>
        <v>13914630</v>
      </c>
      <c r="G52" s="97"/>
      <c r="H52" s="97">
        <f>F52+F53-F54+F55-F56+F57-F58+F61-F62+F63-F64+F65-F66+F71-F72+F73-F74+F75-F76+F77-F78+F79-F80+F82+F84-F87</f>
        <v>260345811.28000003</v>
      </c>
      <c r="I52" s="97"/>
      <c r="J52" s="101"/>
      <c r="K52" s="101"/>
      <c r="L52" s="101"/>
      <c r="M52" s="101"/>
      <c r="N52" s="97"/>
      <c r="O52" s="97"/>
      <c r="P52" s="97"/>
      <c r="Q52" s="97"/>
      <c r="R52" s="101"/>
      <c r="S52" s="97"/>
    </row>
    <row r="53" spans="1:19" s="86" customFormat="1" x14ac:dyDescent="0.25">
      <c r="A53" s="183" t="s">
        <v>236</v>
      </c>
      <c r="B53" s="110"/>
      <c r="C53" s="180">
        <v>1060299000</v>
      </c>
      <c r="D53" s="98">
        <f>IFERROR(VLOOKUP($C53,'FC1-Pre TB 2024'!$C$10:$D$276,2,FALSE),0)</f>
        <v>699000</v>
      </c>
      <c r="E53" s="98">
        <f>IFERROR(VLOOKUP($C53,'FC1-Pre TB 2024'!$C$10:$E$276,3,FALSE),0)</f>
        <v>0</v>
      </c>
      <c r="F53" s="303">
        <f t="shared" si="0"/>
        <v>699000</v>
      </c>
      <c r="G53" s="97"/>
      <c r="H53" s="138">
        <f>H51+H52</f>
        <v>946229439.92000008</v>
      </c>
      <c r="I53" s="97"/>
      <c r="J53" s="101"/>
      <c r="K53" s="101"/>
      <c r="L53" s="101"/>
      <c r="M53" s="101"/>
      <c r="N53" s="97"/>
      <c r="O53" s="97"/>
      <c r="P53" s="97"/>
      <c r="Q53" s="97"/>
      <c r="R53" s="101"/>
      <c r="S53" s="97"/>
    </row>
    <row r="54" spans="1:19" s="86" customFormat="1" x14ac:dyDescent="0.25">
      <c r="A54" s="183" t="s">
        <v>383</v>
      </c>
      <c r="B54" s="110"/>
      <c r="C54" s="180">
        <v>1060299100</v>
      </c>
      <c r="D54" s="98">
        <f>IFERROR(VLOOKUP($C54,'FC1-Pre TB 2024'!$C$10:$D$276,2,FALSE),0)</f>
        <v>0</v>
      </c>
      <c r="E54" s="98">
        <f>IFERROR(VLOOKUP($C54,'FC1-Pre TB 2024'!$C$10:$E$276,3,FALSE),0)</f>
        <v>477377.28000000003</v>
      </c>
      <c r="F54" s="303">
        <f t="shared" si="0"/>
        <v>477377.28000000003</v>
      </c>
      <c r="G54" s="97"/>
      <c r="H54" s="97">
        <f>H53-FC1SFP!I184</f>
        <v>-1511652.6399998665</v>
      </c>
      <c r="I54" s="97"/>
      <c r="J54" s="101"/>
      <c r="K54" s="101"/>
      <c r="L54" s="101"/>
      <c r="M54" s="101"/>
      <c r="N54" s="97"/>
      <c r="O54" s="97"/>
      <c r="P54" s="97"/>
      <c r="Q54" s="97"/>
      <c r="R54" s="101"/>
      <c r="S54" s="97"/>
    </row>
    <row r="55" spans="1:19" s="86" customFormat="1" x14ac:dyDescent="0.25">
      <c r="A55" s="183" t="s">
        <v>235</v>
      </c>
      <c r="B55" s="110"/>
      <c r="C55" s="180">
        <v>1060401000</v>
      </c>
      <c r="D55" s="98">
        <f>IFERROR(VLOOKUP($C55,'FC1-Pre TB 2024'!$C$10:$D$276,2,FALSE),0)</f>
        <v>193062384.37</v>
      </c>
      <c r="E55" s="98">
        <f>IFERROR(VLOOKUP($C55,'FC1-Pre TB 2024'!$C$10:$E$276,3,FALSE),0)</f>
        <v>0</v>
      </c>
      <c r="F55" s="303">
        <f t="shared" si="0"/>
        <v>193062384.37</v>
      </c>
      <c r="G55" s="97"/>
      <c r="H55" s="138">
        <f>SUM(F99:F121)</f>
        <v>217508035.02999994</v>
      </c>
      <c r="I55" s="97">
        <f>H55-FC1SFP!I228</f>
        <v>0</v>
      </c>
      <c r="J55" s="101"/>
      <c r="K55" s="101"/>
      <c r="L55" s="101"/>
      <c r="M55" s="101"/>
      <c r="N55" s="97"/>
      <c r="O55" s="97"/>
      <c r="P55" s="97"/>
      <c r="Q55" s="97"/>
      <c r="R55" s="101"/>
      <c r="S55" s="97"/>
    </row>
    <row r="56" spans="1:19" s="81" customFormat="1" ht="16.5" x14ac:dyDescent="0.3">
      <c r="A56" s="297" t="s">
        <v>359</v>
      </c>
      <c r="B56" s="80"/>
      <c r="C56" s="300">
        <v>1060401100</v>
      </c>
      <c r="D56" s="98">
        <f>IFERROR(VLOOKUP($C56,'FC1-Pre TB 2024'!$C$10:$D$276,2,FALSE),0)</f>
        <v>0</v>
      </c>
      <c r="E56" s="98">
        <f>IFERROR(VLOOKUP($C56,'FC1-Pre TB 2024'!$C$10:$E$276,3,FALSE),0)</f>
        <v>41357030.310000002</v>
      </c>
      <c r="F56" s="303">
        <f t="shared" si="0"/>
        <v>41357030.310000002</v>
      </c>
      <c r="G56" s="82"/>
      <c r="H56" s="82">
        <f>H53-H55</f>
        <v>728721404.8900001</v>
      </c>
      <c r="I56" s="82"/>
      <c r="J56" s="279"/>
      <c r="K56" s="279"/>
      <c r="L56" s="279"/>
      <c r="M56" s="279"/>
      <c r="N56" s="82"/>
      <c r="O56" s="82"/>
      <c r="P56" s="82"/>
      <c r="Q56" s="82"/>
      <c r="R56" s="279"/>
      <c r="S56" s="82"/>
    </row>
    <row r="57" spans="1:19" s="86" customFormat="1" x14ac:dyDescent="0.25">
      <c r="A57" s="183" t="s">
        <v>24</v>
      </c>
      <c r="B57" s="110"/>
      <c r="C57" s="180">
        <v>1060499000</v>
      </c>
      <c r="D57" s="98">
        <f>IFERROR(VLOOKUP($C57,'FC1-Pre TB 2024'!$C$10:$D$276,2,FALSE),0)</f>
        <v>22256506.460000001</v>
      </c>
      <c r="E57" s="98">
        <f>IFERROR(VLOOKUP($C57,'FC1-Pre TB 2024'!$C$10:$E$276,3,FALSE),0)</f>
        <v>0</v>
      </c>
      <c r="F57" s="303">
        <f t="shared" si="0"/>
        <v>22256506.460000001</v>
      </c>
      <c r="G57" s="97"/>
      <c r="H57" s="97"/>
      <c r="I57" s="97"/>
      <c r="J57" s="101"/>
      <c r="K57" s="101"/>
      <c r="L57" s="101"/>
      <c r="M57" s="101"/>
      <c r="N57" s="97"/>
      <c r="O57" s="97"/>
      <c r="P57" s="97"/>
      <c r="Q57" s="97"/>
      <c r="R57" s="101"/>
      <c r="S57" s="97"/>
    </row>
    <row r="58" spans="1:19" s="86" customFormat="1" x14ac:dyDescent="0.25">
      <c r="A58" s="183" t="s">
        <v>106</v>
      </c>
      <c r="B58" s="110"/>
      <c r="C58" s="180">
        <v>1060499100</v>
      </c>
      <c r="D58" s="98">
        <f>IFERROR(VLOOKUP($C58,'FC1-Pre TB 2024'!$C$10:$D$276,2,FALSE),0)</f>
        <v>0</v>
      </c>
      <c r="E58" s="98">
        <f>IFERROR(VLOOKUP($C58,'FC1-Pre TB 2024'!$C$10:$E$276,3,FALSE),0)</f>
        <v>5072765.9800000004</v>
      </c>
      <c r="F58" s="303">
        <f t="shared" si="0"/>
        <v>5072765.9800000004</v>
      </c>
      <c r="G58" s="97"/>
      <c r="H58" s="97"/>
      <c r="I58" s="97"/>
      <c r="J58" s="101"/>
      <c r="K58" s="97"/>
      <c r="L58" s="101"/>
      <c r="M58" s="101"/>
      <c r="N58" s="97"/>
      <c r="O58" s="97"/>
      <c r="P58" s="97"/>
      <c r="Q58" s="97"/>
      <c r="R58" s="101"/>
      <c r="S58" s="97"/>
    </row>
    <row r="59" spans="1:19" s="86" customFormat="1" hidden="1" x14ac:dyDescent="0.25">
      <c r="A59" s="183" t="s">
        <v>447</v>
      </c>
      <c r="B59" s="110"/>
      <c r="C59" s="180">
        <v>1060501000</v>
      </c>
      <c r="D59" s="98">
        <f>IFERROR(VLOOKUP($C59,'FC1-Pre TB 2024'!$C$10:$D$276,2,FALSE),0)</f>
        <v>0</v>
      </c>
      <c r="E59" s="98">
        <f>IFERROR(VLOOKUP($C59,'FC1-Pre TB 2024'!$C$10:$E$276,3,FALSE),0)</f>
        <v>0</v>
      </c>
      <c r="F59" s="303">
        <f t="shared" si="0"/>
        <v>0</v>
      </c>
      <c r="G59" s="97"/>
      <c r="H59" s="97"/>
      <c r="I59" s="97"/>
      <c r="J59" s="101"/>
      <c r="K59" s="97"/>
      <c r="L59" s="101"/>
      <c r="M59" s="101"/>
      <c r="N59" s="97"/>
      <c r="O59" s="97"/>
      <c r="P59" s="97"/>
      <c r="Q59" s="97"/>
      <c r="R59" s="101"/>
      <c r="S59" s="97"/>
    </row>
    <row r="60" spans="1:19" s="86" customFormat="1" hidden="1" x14ac:dyDescent="0.25">
      <c r="A60" s="183" t="s">
        <v>448</v>
      </c>
      <c r="B60" s="110"/>
      <c r="C60" s="180">
        <v>1060501100</v>
      </c>
      <c r="D60" s="98">
        <f>IFERROR(VLOOKUP($C60,'FC1-Pre TB 2024'!$C$10:$D$276,2,FALSE),0)</f>
        <v>0</v>
      </c>
      <c r="E60" s="98">
        <f>IFERROR(VLOOKUP($C60,'FC1-Pre TB 2024'!$C$10:$E$276,3,FALSE),0)</f>
        <v>0</v>
      </c>
      <c r="F60" s="303">
        <f t="shared" si="0"/>
        <v>0</v>
      </c>
      <c r="G60" s="97"/>
      <c r="H60" s="97"/>
      <c r="I60" s="97"/>
      <c r="J60" s="101"/>
      <c r="K60" s="97"/>
      <c r="L60" s="101"/>
      <c r="M60" s="101"/>
      <c r="N60" s="97"/>
      <c r="O60" s="97"/>
      <c r="P60" s="97"/>
      <c r="Q60" s="97"/>
      <c r="R60" s="101"/>
      <c r="S60" s="97"/>
    </row>
    <row r="61" spans="1:19" s="86" customFormat="1" x14ac:dyDescent="0.25">
      <c r="A61" s="183" t="s">
        <v>25</v>
      </c>
      <c r="B61" s="110"/>
      <c r="C61" s="180">
        <v>1060502000</v>
      </c>
      <c r="D61" s="98">
        <f>IFERROR(VLOOKUP($C61,'FC1-Pre TB 2024'!$C$10:$D$276,2,FALSE),0)</f>
        <v>10848086.25</v>
      </c>
      <c r="E61" s="98">
        <f>IFERROR(VLOOKUP($C61,'FC1-Pre TB 2024'!$C$10:$E$276,3,FALSE),0)</f>
        <v>0</v>
      </c>
      <c r="F61" s="303">
        <f t="shared" si="0"/>
        <v>10848086.25</v>
      </c>
      <c r="G61" s="97"/>
      <c r="H61" s="97"/>
      <c r="I61" s="97"/>
      <c r="J61" s="101"/>
      <c r="K61" s="101"/>
      <c r="L61" s="101"/>
      <c r="M61" s="101"/>
      <c r="N61" s="97"/>
      <c r="O61" s="97"/>
      <c r="P61" s="97"/>
      <c r="Q61" s="97"/>
      <c r="R61" s="101"/>
      <c r="S61" s="97"/>
    </row>
    <row r="62" spans="1:19" s="86" customFormat="1" x14ac:dyDescent="0.25">
      <c r="A62" s="183" t="s">
        <v>88</v>
      </c>
      <c r="B62" s="110"/>
      <c r="C62" s="180">
        <v>1060502100</v>
      </c>
      <c r="D62" s="98">
        <f>IFERROR(VLOOKUP($C62,'FC1-Pre TB 2024'!$C$10:$D$276,2,FALSE),0)</f>
        <v>0</v>
      </c>
      <c r="E62" s="98">
        <f>IFERROR(VLOOKUP($C62,'FC1-Pre TB 2024'!$C$10:$E$276,3,FALSE),0)</f>
        <v>8194329.8899999997</v>
      </c>
      <c r="F62" s="303">
        <f t="shared" si="0"/>
        <v>8194329.8899999997</v>
      </c>
      <c r="G62" s="97"/>
      <c r="H62" s="97"/>
      <c r="I62" s="97"/>
      <c r="J62" s="101"/>
      <c r="K62" s="101"/>
      <c r="L62" s="101"/>
      <c r="M62" s="101"/>
      <c r="N62" s="97"/>
      <c r="O62" s="97"/>
      <c r="P62" s="97"/>
      <c r="Q62" s="97"/>
      <c r="R62" s="101"/>
      <c r="S62" s="97"/>
    </row>
    <row r="63" spans="1:19" s="86" customFormat="1" ht="31.5" x14ac:dyDescent="0.25">
      <c r="A63" s="183" t="s">
        <v>102</v>
      </c>
      <c r="B63" s="110"/>
      <c r="C63" s="180">
        <v>1060503000</v>
      </c>
      <c r="D63" s="98">
        <f>IFERROR(VLOOKUP($C63,'FC1-Pre TB 2024'!$C$10:$D$276,2,FALSE),0)</f>
        <v>51002202.969999999</v>
      </c>
      <c r="E63" s="98">
        <f>IFERROR(VLOOKUP($C63,'FC1-Pre TB 2024'!$C$10:$E$276,3,FALSE),0)</f>
        <v>0</v>
      </c>
      <c r="F63" s="303">
        <f t="shared" si="0"/>
        <v>51002202.969999999</v>
      </c>
      <c r="G63" s="97"/>
      <c r="H63" s="97"/>
      <c r="I63" s="97"/>
      <c r="J63" s="101"/>
      <c r="K63" s="101"/>
      <c r="L63" s="101"/>
      <c r="M63" s="101"/>
      <c r="N63" s="97"/>
      <c r="O63" s="97"/>
      <c r="P63" s="97"/>
      <c r="Q63" s="97"/>
      <c r="R63" s="101"/>
      <c r="S63" s="97"/>
    </row>
    <row r="64" spans="1:19" s="86" customFormat="1" ht="31.5" x14ac:dyDescent="0.25">
      <c r="A64" s="183" t="s">
        <v>399</v>
      </c>
      <c r="B64" s="110"/>
      <c r="C64" s="180">
        <v>1060503100</v>
      </c>
      <c r="D64" s="98">
        <f>IFERROR(VLOOKUP($C64,'FC1-Pre TB 2024'!$C$10:$D$276,2,FALSE),0)</f>
        <v>0</v>
      </c>
      <c r="E64" s="98">
        <f>IFERROR(VLOOKUP($C64,'FC1-Pre TB 2024'!$C$10:$E$276,3,FALSE),0)</f>
        <v>22246659.5</v>
      </c>
      <c r="F64" s="303">
        <f t="shared" si="0"/>
        <v>22246659.5</v>
      </c>
      <c r="G64" s="97"/>
      <c r="H64" s="97"/>
      <c r="I64" s="97"/>
      <c r="J64" s="101"/>
      <c r="K64" s="101"/>
      <c r="L64" s="101"/>
      <c r="M64" s="101"/>
      <c r="N64" s="97"/>
      <c r="O64" s="97"/>
      <c r="P64" s="97"/>
      <c r="Q64" s="97"/>
      <c r="R64" s="101"/>
      <c r="S64" s="97"/>
    </row>
    <row r="65" spans="1:27" s="86" customFormat="1" x14ac:dyDescent="0.25">
      <c r="A65" s="183" t="s">
        <v>26</v>
      </c>
      <c r="B65" s="110"/>
      <c r="C65" s="180">
        <v>1060507000</v>
      </c>
      <c r="D65" s="98">
        <f>IFERROR(VLOOKUP($C65,'FC1-Pre TB 2024'!$C$10:$D$276,2,FALSE),0)</f>
        <v>8181442.96</v>
      </c>
      <c r="E65" s="98">
        <f>IFERROR(VLOOKUP($C65,'FC1-Pre TB 2024'!$C$10:$E$276,3,FALSE),0)</f>
        <v>0</v>
      </c>
      <c r="F65" s="303">
        <f t="shared" si="0"/>
        <v>8181442.96</v>
      </c>
      <c r="G65" s="97"/>
      <c r="H65" s="97"/>
      <c r="I65" s="97"/>
      <c r="J65" s="101"/>
      <c r="K65" s="101"/>
      <c r="L65" s="101"/>
      <c r="M65" s="101"/>
      <c r="N65" s="97"/>
      <c r="O65" s="97"/>
      <c r="P65" s="97"/>
      <c r="Q65" s="97"/>
      <c r="R65" s="101"/>
      <c r="S65" s="97"/>
    </row>
    <row r="66" spans="1:27" s="86" customFormat="1" x14ac:dyDescent="0.25">
      <c r="A66" s="183" t="s">
        <v>90</v>
      </c>
      <c r="B66" s="110"/>
      <c r="C66" s="180">
        <v>1060507100</v>
      </c>
      <c r="D66" s="98">
        <f>IFERROR(VLOOKUP($C66,'FC1-Pre TB 2024'!$C$10:$D$276,2,FALSE),0)</f>
        <v>0</v>
      </c>
      <c r="E66" s="98">
        <f>IFERROR(VLOOKUP($C66,'FC1-Pre TB 2024'!$C$10:$E$276,3,FALSE),0)</f>
        <v>2063972.97</v>
      </c>
      <c r="F66" s="303">
        <f t="shared" si="0"/>
        <v>2063972.97</v>
      </c>
      <c r="G66" s="97"/>
      <c r="H66" s="97"/>
      <c r="I66" s="97"/>
      <c r="J66" s="101"/>
      <c r="K66" s="101"/>
      <c r="L66" s="101"/>
      <c r="M66" s="101"/>
      <c r="N66" s="97"/>
      <c r="O66" s="97"/>
      <c r="P66" s="97"/>
      <c r="Q66" s="97"/>
      <c r="R66" s="101"/>
      <c r="S66" s="97"/>
    </row>
    <row r="67" spans="1:27" s="86" customFormat="1" hidden="1" x14ac:dyDescent="0.25">
      <c r="A67" s="183" t="s">
        <v>103</v>
      </c>
      <c r="B67" s="110"/>
      <c r="C67" s="180">
        <v>1060509000</v>
      </c>
      <c r="D67" s="98">
        <f>IFERROR(VLOOKUP($C67,'FC1-Pre TB 2024'!$C$10:$D$276,2,FALSE),0)</f>
        <v>0</v>
      </c>
      <c r="E67" s="98">
        <f>IFERROR(VLOOKUP($C67,'FC1-Pre TB 2024'!$C$10:$E$276,3,FALSE),0)</f>
        <v>0</v>
      </c>
      <c r="F67" s="303">
        <f t="shared" si="0"/>
        <v>0</v>
      </c>
      <c r="G67" s="97"/>
      <c r="H67" s="97"/>
      <c r="I67" s="97"/>
      <c r="J67" s="101"/>
      <c r="K67" s="101"/>
      <c r="L67" s="101"/>
      <c r="M67" s="101"/>
      <c r="N67" s="97"/>
      <c r="O67" s="97"/>
      <c r="P67" s="97"/>
      <c r="Q67" s="97"/>
      <c r="R67" s="101"/>
      <c r="S67" s="97"/>
    </row>
    <row r="68" spans="1:27" s="86" customFormat="1" ht="31.5" hidden="1" x14ac:dyDescent="0.25">
      <c r="A68" s="183" t="s">
        <v>108</v>
      </c>
      <c r="B68" s="94"/>
      <c r="C68" s="180">
        <v>1060509100</v>
      </c>
      <c r="D68" s="98">
        <f>IFERROR(VLOOKUP($C68,'FC1-Pre TB 2024'!$C$10:$D$276,2,FALSE),0)</f>
        <v>0</v>
      </c>
      <c r="E68" s="98">
        <f>IFERROR(VLOOKUP($C68,'FC1-Pre TB 2024'!$C$10:$E$276,3,FALSE),0)</f>
        <v>0</v>
      </c>
      <c r="F68" s="303">
        <f t="shared" si="0"/>
        <v>0</v>
      </c>
      <c r="G68" s="97"/>
      <c r="H68" s="97"/>
      <c r="I68" s="97"/>
      <c r="J68" s="101"/>
      <c r="K68" s="101"/>
      <c r="L68" s="101"/>
      <c r="M68" s="101"/>
      <c r="N68" s="97"/>
      <c r="O68" s="97"/>
      <c r="P68" s="97"/>
      <c r="Q68" s="97"/>
      <c r="R68" s="101"/>
      <c r="S68" s="97"/>
    </row>
    <row r="69" spans="1:27" s="86" customFormat="1" hidden="1" x14ac:dyDescent="0.25">
      <c r="A69" s="183" t="s">
        <v>104</v>
      </c>
      <c r="B69" s="110"/>
      <c r="C69" s="180">
        <v>1060511000</v>
      </c>
      <c r="D69" s="98">
        <f>IFERROR(VLOOKUP($C69,'FC1-Pre TB 2024'!$C$10:$D$276,2,FALSE),0)</f>
        <v>0</v>
      </c>
      <c r="E69" s="98">
        <f>IFERROR(VLOOKUP($C69,'FC1-Pre TB 2024'!$C$10:$E$276,3,FALSE),0)</f>
        <v>0</v>
      </c>
      <c r="F69" s="303">
        <f t="shared" si="0"/>
        <v>0</v>
      </c>
      <c r="G69" s="97"/>
      <c r="H69" s="97"/>
      <c r="I69" s="97"/>
      <c r="J69" s="101"/>
      <c r="K69" s="101"/>
      <c r="L69" s="101"/>
      <c r="M69" s="101"/>
      <c r="N69" s="97"/>
      <c r="O69" s="97"/>
      <c r="P69" s="97"/>
      <c r="Q69" s="97"/>
      <c r="R69" s="101"/>
      <c r="S69" s="97"/>
    </row>
    <row r="70" spans="1:27" s="86" customFormat="1" hidden="1" x14ac:dyDescent="0.25">
      <c r="A70" s="183" t="s">
        <v>109</v>
      </c>
      <c r="B70" s="110"/>
      <c r="C70" s="180">
        <v>1060511100</v>
      </c>
      <c r="D70" s="98">
        <f>IFERROR(VLOOKUP($C70,'FC1-Pre TB 2024'!$C$10:$D$276,2,FALSE),0)</f>
        <v>0</v>
      </c>
      <c r="E70" s="98">
        <f>IFERROR(VLOOKUP($C70,'FC1-Pre TB 2024'!$C$10:$E$276,3,FALSE),0)</f>
        <v>0</v>
      </c>
      <c r="F70" s="303">
        <f t="shared" si="0"/>
        <v>0</v>
      </c>
      <c r="G70" s="97"/>
      <c r="H70" s="97"/>
      <c r="I70" s="97"/>
      <c r="J70" s="101"/>
      <c r="K70" s="101"/>
      <c r="L70" s="101"/>
      <c r="M70" s="101"/>
      <c r="N70" s="97"/>
      <c r="O70" s="97"/>
      <c r="P70" s="97"/>
      <c r="Q70" s="97"/>
      <c r="R70" s="101"/>
      <c r="S70" s="97"/>
    </row>
    <row r="71" spans="1:27" s="86" customFormat="1" x14ac:dyDescent="0.25">
      <c r="A71" s="183" t="s">
        <v>27</v>
      </c>
      <c r="B71" s="110"/>
      <c r="C71" s="180">
        <v>1060513000</v>
      </c>
      <c r="D71" s="98">
        <f>IFERROR(VLOOKUP($C71,'FC1-Pre TB 2024'!$C$10:$D$276,2,FALSE),0)</f>
        <v>158769</v>
      </c>
      <c r="E71" s="98">
        <f>IFERROR(VLOOKUP($C71,'FC1-Pre TB 2024'!$C$10:$E$276,3,FALSE),0)</f>
        <v>0</v>
      </c>
      <c r="F71" s="303">
        <f t="shared" si="0"/>
        <v>158769</v>
      </c>
      <c r="G71" s="97"/>
      <c r="H71" s="97"/>
      <c r="I71" s="97"/>
      <c r="J71" s="101"/>
      <c r="K71" s="101"/>
      <c r="L71" s="101"/>
      <c r="M71" s="101"/>
      <c r="N71" s="97"/>
      <c r="O71" s="97"/>
      <c r="P71" s="97"/>
      <c r="Q71" s="97"/>
      <c r="R71" s="101"/>
      <c r="S71" s="97"/>
    </row>
    <row r="72" spans="1:27" s="86" customFormat="1" x14ac:dyDescent="0.25">
      <c r="A72" s="183" t="s">
        <v>91</v>
      </c>
      <c r="B72" s="110"/>
      <c r="C72" s="180">
        <v>1060513100</v>
      </c>
      <c r="D72" s="98">
        <f>IFERROR(VLOOKUP($C72,'FC1-Pre TB 2024'!$C$10:$D$276,2,FALSE),0)</f>
        <v>0</v>
      </c>
      <c r="E72" s="98">
        <f>IFERROR(VLOOKUP($C72,'FC1-Pre TB 2024'!$C$10:$E$276,3,FALSE),0)</f>
        <v>150830.54999999999</v>
      </c>
      <c r="F72" s="303">
        <f t="shared" si="0"/>
        <v>150830.54999999999</v>
      </c>
      <c r="G72" s="97"/>
      <c r="H72" s="97"/>
      <c r="I72" s="97"/>
      <c r="J72" s="101"/>
      <c r="K72" s="101"/>
      <c r="L72" s="101"/>
      <c r="M72" s="101"/>
      <c r="N72" s="97"/>
      <c r="O72" s="97"/>
      <c r="P72" s="97"/>
      <c r="Q72" s="97"/>
      <c r="R72" s="101"/>
      <c r="S72" s="97"/>
    </row>
    <row r="73" spans="1:27" s="86" customFormat="1" x14ac:dyDescent="0.25">
      <c r="A73" s="183" t="s">
        <v>265</v>
      </c>
      <c r="B73" s="110"/>
      <c r="C73" s="180">
        <v>1060514000</v>
      </c>
      <c r="D73" s="98">
        <f>IFERROR(VLOOKUP($C73,'FC1-Pre TB 2024'!$C$10:$D$276,2,FALSE),0)</f>
        <v>435078.56</v>
      </c>
      <c r="E73" s="98">
        <f>IFERROR(VLOOKUP($C73,'FC1-Pre TB 2024'!$C$10:$E$276,3,FALSE),0)</f>
        <v>0</v>
      </c>
      <c r="F73" s="303">
        <f t="shared" si="0"/>
        <v>435078.56</v>
      </c>
      <c r="G73" s="97"/>
      <c r="H73" s="97"/>
      <c r="I73" s="97"/>
      <c r="J73" s="101"/>
      <c r="K73" s="101"/>
      <c r="L73" s="101"/>
      <c r="M73" s="101"/>
      <c r="N73" s="97"/>
      <c r="O73" s="97"/>
      <c r="P73" s="97"/>
      <c r="Q73" s="97"/>
      <c r="R73" s="101"/>
      <c r="S73" s="97"/>
    </row>
    <row r="74" spans="1:27" s="86" customFormat="1" ht="31.5" x14ac:dyDescent="0.25">
      <c r="A74" s="183" t="s">
        <v>266</v>
      </c>
      <c r="B74" s="110"/>
      <c r="C74" s="180">
        <v>1060514100</v>
      </c>
      <c r="D74" s="98">
        <f>IFERROR(VLOOKUP($C74,'FC1-Pre TB 2024'!$C$10:$D$276,2,FALSE),0)</f>
        <v>0</v>
      </c>
      <c r="E74" s="98">
        <f>IFERROR(VLOOKUP($C74,'FC1-Pre TB 2024'!$C$10:$E$276,3,FALSE),0)</f>
        <v>269936.06</v>
      </c>
      <c r="F74" s="303">
        <f t="shared" si="0"/>
        <v>269936.06</v>
      </c>
      <c r="G74" s="97"/>
      <c r="H74" s="97"/>
      <c r="I74" s="97"/>
      <c r="J74" s="101"/>
      <c r="K74" s="101"/>
      <c r="L74" s="101"/>
      <c r="M74" s="101"/>
      <c r="N74" s="97"/>
      <c r="O74" s="97"/>
      <c r="P74" s="97"/>
      <c r="Q74" s="97"/>
      <c r="R74" s="101"/>
      <c r="S74" s="97"/>
    </row>
    <row r="75" spans="1:27" s="86" customFormat="1" x14ac:dyDescent="0.25">
      <c r="A75" s="183" t="s">
        <v>489</v>
      </c>
      <c r="B75" s="110"/>
      <c r="C75" s="180">
        <v>1060599000</v>
      </c>
      <c r="D75" s="98">
        <f>IFERROR(VLOOKUP($C75,'FC1-Pre TB 2024'!$C$10:$D$276,2,FALSE),0)</f>
        <v>1887336.87</v>
      </c>
      <c r="E75" s="98">
        <f>IFERROR(VLOOKUP($C75,'FC1-Pre TB 2024'!$C$10:$E$276,3,FALSE),0)</f>
        <v>0</v>
      </c>
      <c r="F75" s="303">
        <f t="shared" ref="F75:F139" si="1">D75+E75</f>
        <v>1887336.87</v>
      </c>
      <c r="G75" s="97"/>
      <c r="H75" s="97"/>
      <c r="I75" s="97"/>
      <c r="J75" s="101"/>
      <c r="K75" s="101"/>
      <c r="L75" s="101"/>
      <c r="M75" s="101"/>
      <c r="N75" s="97"/>
      <c r="O75" s="97"/>
      <c r="P75" s="97"/>
      <c r="Q75" s="97"/>
      <c r="R75" s="101"/>
      <c r="S75" s="97"/>
    </row>
    <row r="76" spans="1:27" s="86" customFormat="1" x14ac:dyDescent="0.25">
      <c r="A76" s="183" t="s">
        <v>490</v>
      </c>
      <c r="B76" s="110"/>
      <c r="C76" s="180">
        <v>1060599100</v>
      </c>
      <c r="D76" s="98">
        <f>IFERROR(VLOOKUP($C76,'FC1-Pre TB 2024'!$C$10:$D$276,2,FALSE),0)</f>
        <v>0</v>
      </c>
      <c r="E76" s="98">
        <f>IFERROR(VLOOKUP($C76,'FC1-Pre TB 2024'!$C$10:$E$276,3,FALSE),0)</f>
        <v>781714.57</v>
      </c>
      <c r="F76" s="303">
        <f t="shared" si="1"/>
        <v>781714.57</v>
      </c>
      <c r="G76" s="97"/>
      <c r="H76" s="97"/>
      <c r="I76" s="97"/>
      <c r="J76" s="101"/>
      <c r="K76" s="101"/>
      <c r="L76" s="101"/>
      <c r="M76" s="101"/>
      <c r="N76" s="97"/>
      <c r="O76" s="97"/>
      <c r="P76" s="97"/>
      <c r="Q76" s="97"/>
      <c r="R76" s="101"/>
      <c r="S76" s="97"/>
    </row>
    <row r="77" spans="1:27" s="86" customFormat="1" x14ac:dyDescent="0.25">
      <c r="A77" s="183" t="s">
        <v>28</v>
      </c>
      <c r="B77" s="110"/>
      <c r="C77" s="180">
        <v>1060601000</v>
      </c>
      <c r="D77" s="98">
        <f>IFERROR(VLOOKUP($C77,'FC1-Pre TB 2024'!$C$10:$D$276,2,FALSE),0)</f>
        <v>53384186.759999998</v>
      </c>
      <c r="E77" s="98">
        <f>IFERROR(VLOOKUP($C77,'FC1-Pre TB 2024'!$C$10:$E$276,3,FALSE),0)</f>
        <v>0</v>
      </c>
      <c r="F77" s="303">
        <f t="shared" si="1"/>
        <v>53384186.759999998</v>
      </c>
      <c r="G77" s="97"/>
      <c r="H77" s="97"/>
      <c r="I77" s="97"/>
      <c r="J77" s="101"/>
      <c r="K77" s="101"/>
      <c r="L77" s="101"/>
      <c r="M77" s="101"/>
      <c r="N77" s="97"/>
      <c r="O77" s="97"/>
      <c r="P77" s="97"/>
      <c r="Q77" s="97"/>
      <c r="R77" s="101"/>
      <c r="S77" s="97"/>
    </row>
    <row r="78" spans="1:27" s="86" customFormat="1" x14ac:dyDescent="0.25">
      <c r="A78" s="183" t="s">
        <v>92</v>
      </c>
      <c r="B78" s="110"/>
      <c r="C78" s="180">
        <v>1060601100</v>
      </c>
      <c r="D78" s="98">
        <f>IFERROR(VLOOKUP($C78,'FC1-Pre TB 2024'!$C$10:$D$276,2,FALSE),0)</f>
        <v>0</v>
      </c>
      <c r="E78" s="98">
        <f>IFERROR(VLOOKUP($C78,'FC1-Pre TB 2024'!$C$10:$E$276,3,FALSE),0)</f>
        <v>29012774.379999999</v>
      </c>
      <c r="F78" s="303">
        <f t="shared" si="1"/>
        <v>29012774.379999999</v>
      </c>
      <c r="G78" s="97"/>
      <c r="H78" s="97"/>
      <c r="I78" s="97"/>
      <c r="J78" s="101"/>
      <c r="K78" s="101"/>
      <c r="L78" s="101"/>
      <c r="M78" s="101"/>
      <c r="N78" s="97"/>
      <c r="O78" s="97"/>
      <c r="P78" s="97"/>
      <c r="Q78" s="97"/>
      <c r="R78" s="101"/>
      <c r="S78" s="97"/>
    </row>
    <row r="79" spans="1:27" s="86" customFormat="1" x14ac:dyDescent="0.25">
      <c r="A79" s="183" t="s">
        <v>86</v>
      </c>
      <c r="B79" s="110"/>
      <c r="C79" s="180">
        <v>1060701000</v>
      </c>
      <c r="D79" s="98">
        <f>IFERROR(VLOOKUP($C79,'FC1-Pre TB 2024'!$C$10:$D$276,2,FALSE),0)</f>
        <v>330000</v>
      </c>
      <c r="E79" s="98">
        <f>IFERROR(VLOOKUP($C79,'FC1-Pre TB 2024'!$C$10:$E$276,3,FALSE),0)</f>
        <v>0</v>
      </c>
      <c r="F79" s="303">
        <f t="shared" si="1"/>
        <v>330000</v>
      </c>
      <c r="G79" s="97"/>
      <c r="H79" s="97"/>
      <c r="I79" s="97"/>
      <c r="J79" s="101"/>
      <c r="K79" s="101"/>
      <c r="L79" s="101"/>
      <c r="M79" s="101"/>
      <c r="N79" s="97"/>
      <c r="O79" s="97"/>
      <c r="P79" s="97"/>
      <c r="Q79" s="97"/>
      <c r="R79" s="101"/>
      <c r="S79" s="97"/>
    </row>
    <row r="80" spans="1:27" x14ac:dyDescent="0.25">
      <c r="A80" s="183" t="s">
        <v>89</v>
      </c>
      <c r="B80" s="110"/>
      <c r="C80" s="180">
        <v>1060701100</v>
      </c>
      <c r="D80" s="98">
        <f>IFERROR(VLOOKUP($C80,'FC1-Pre TB 2024'!$C$10:$D$276,2,FALSE),0)</f>
        <v>0</v>
      </c>
      <c r="E80" s="98">
        <f>IFERROR(VLOOKUP($C80,'FC1-Pre TB 2024'!$C$10:$E$276,3,FALSE),0)</f>
        <v>179124.09</v>
      </c>
      <c r="F80" s="303">
        <f t="shared" si="1"/>
        <v>179124.09</v>
      </c>
      <c r="G80" s="97"/>
      <c r="H80" s="97"/>
      <c r="I80" s="97"/>
      <c r="J80" s="101"/>
      <c r="K80" s="97"/>
      <c r="L80" s="101"/>
      <c r="M80" s="101"/>
      <c r="N80" s="97"/>
      <c r="O80" s="97"/>
      <c r="P80" s="97"/>
      <c r="Q80" s="97"/>
      <c r="R80" s="101"/>
      <c r="S80" s="97"/>
      <c r="AA80" s="86"/>
    </row>
    <row r="81" spans="1:27" hidden="1" x14ac:dyDescent="0.25">
      <c r="A81" s="183" t="s">
        <v>101</v>
      </c>
      <c r="B81" s="110"/>
      <c r="C81" s="180">
        <v>1060702000</v>
      </c>
      <c r="D81" s="98">
        <f>IFERROR(VLOOKUP($C81,'FC1-Pre TB 2024'!$C$10:$D$276,2,FALSE),0)</f>
        <v>0</v>
      </c>
      <c r="E81" s="98">
        <f>IFERROR(VLOOKUP($C81,'FC1-Pre TB 2024'!$C$10:$E$276,3,FALSE),0)</f>
        <v>0</v>
      </c>
      <c r="F81" s="303">
        <f t="shared" si="1"/>
        <v>0</v>
      </c>
      <c r="G81" s="97"/>
      <c r="H81" s="97"/>
      <c r="I81" s="97"/>
      <c r="J81" s="101"/>
      <c r="K81" s="101"/>
      <c r="L81" s="101"/>
      <c r="M81" s="101"/>
      <c r="N81" s="97"/>
      <c r="O81" s="97"/>
      <c r="P81" s="97"/>
      <c r="Q81" s="97"/>
      <c r="R81" s="101"/>
      <c r="S81" s="97"/>
      <c r="AA81" s="86"/>
    </row>
    <row r="82" spans="1:27" x14ac:dyDescent="0.25">
      <c r="A82" s="183" t="s">
        <v>417</v>
      </c>
      <c r="B82" s="110"/>
      <c r="C82" s="180">
        <v>1060803000</v>
      </c>
      <c r="D82" s="98">
        <f>IFERROR(VLOOKUP($C82,'FC1-Pre TB 2024'!$C$10:$D$276,2,FALSE),0)</f>
        <v>577680</v>
      </c>
      <c r="E82" s="98">
        <f>IFERROR(VLOOKUP($C82,'FC1-Pre TB 2024'!$C$10:$E$276,3,FALSE),0)</f>
        <v>0</v>
      </c>
      <c r="F82" s="303">
        <f t="shared" si="1"/>
        <v>577680</v>
      </c>
      <c r="G82" s="97"/>
      <c r="H82" s="97"/>
      <c r="I82" s="97"/>
      <c r="J82" s="101"/>
      <c r="K82" s="101"/>
      <c r="L82" s="101"/>
      <c r="M82" s="101"/>
      <c r="N82" s="97"/>
      <c r="O82" s="97"/>
      <c r="P82" s="97"/>
      <c r="Q82" s="97"/>
      <c r="R82" s="101"/>
      <c r="S82" s="97"/>
      <c r="AA82" s="86"/>
    </row>
    <row r="83" spans="1:27" hidden="1" x14ac:dyDescent="0.25">
      <c r="A83" s="183" t="s">
        <v>107</v>
      </c>
      <c r="B83" s="110"/>
      <c r="C83" s="180">
        <v>1060702100</v>
      </c>
      <c r="D83" s="98">
        <f>IFERROR(VLOOKUP($C83,'FC1-Pre TB 2024'!$C$10:$D$276,2,FALSE),0)</f>
        <v>0</v>
      </c>
      <c r="E83" s="98">
        <f>IFERROR(VLOOKUP($C83,'FC1-Pre TB 2024'!$C$10:$E$276,3,FALSE),0)</f>
        <v>0</v>
      </c>
      <c r="F83" s="303">
        <f t="shared" si="1"/>
        <v>0</v>
      </c>
      <c r="G83" s="97"/>
      <c r="H83" s="97"/>
      <c r="I83" s="97"/>
      <c r="J83" s="101"/>
      <c r="K83" s="97"/>
      <c r="L83" s="101"/>
      <c r="M83" s="101"/>
      <c r="N83" s="97"/>
      <c r="O83" s="97"/>
      <c r="P83" s="97"/>
      <c r="Q83" s="97"/>
      <c r="R83" s="101"/>
      <c r="S83" s="97"/>
      <c r="AA83" s="86"/>
    </row>
    <row r="84" spans="1:27" ht="31.5" x14ac:dyDescent="0.25">
      <c r="A84" s="183" t="s">
        <v>230</v>
      </c>
      <c r="B84" s="110"/>
      <c r="C84" s="180">
        <v>1069803000</v>
      </c>
      <c r="D84" s="98">
        <f>IFERROR(VLOOKUP($C84,'FC1-Pre TB 2024'!$C$10:$D$276,2,FALSE),0)</f>
        <v>13457915.16</v>
      </c>
      <c r="E84" s="98">
        <f>IFERROR(VLOOKUP($C84,'FC1-Pre TB 2024'!$C$10:$E$276,3,FALSE),0)</f>
        <v>0</v>
      </c>
      <c r="F84" s="303">
        <f t="shared" si="1"/>
        <v>13457915.16</v>
      </c>
      <c r="G84" s="97"/>
      <c r="H84" s="97"/>
      <c r="I84" s="97"/>
      <c r="J84" s="101"/>
      <c r="K84" s="101"/>
      <c r="L84" s="101"/>
      <c r="M84" s="101"/>
      <c r="N84" s="97"/>
      <c r="O84" s="97"/>
      <c r="P84" s="97"/>
      <c r="Q84" s="97"/>
      <c r="R84" s="101"/>
      <c r="S84" s="97"/>
      <c r="AA84" s="86"/>
    </row>
    <row r="85" spans="1:27" hidden="1" x14ac:dyDescent="0.25">
      <c r="A85" s="183" t="s">
        <v>87</v>
      </c>
      <c r="B85" s="110"/>
      <c r="C85" s="180">
        <v>1069999000</v>
      </c>
      <c r="D85" s="98">
        <f>IFERROR(VLOOKUP($C85,'FC1-Pre TB 2024'!$C$10:$D$276,2,FALSE),0)</f>
        <v>0</v>
      </c>
      <c r="E85" s="98">
        <f>IFERROR(VLOOKUP($C85,'FC1-Pre TB 2024'!$C$10:$E$276,3,FALSE),0)</f>
        <v>0</v>
      </c>
      <c r="F85" s="303">
        <f t="shared" si="1"/>
        <v>0</v>
      </c>
      <c r="G85" s="97"/>
      <c r="H85" s="97"/>
      <c r="I85" s="97"/>
      <c r="J85" s="101"/>
      <c r="K85" s="101"/>
      <c r="L85" s="101"/>
      <c r="M85" s="101"/>
      <c r="N85" s="97"/>
      <c r="O85" s="97"/>
      <c r="P85" s="97"/>
      <c r="Q85" s="97"/>
      <c r="R85" s="101"/>
      <c r="S85" s="97"/>
      <c r="AA85" s="86"/>
    </row>
    <row r="86" spans="1:27" ht="31.5" hidden="1" x14ac:dyDescent="0.25">
      <c r="A86" s="183" t="s">
        <v>93</v>
      </c>
      <c r="B86" s="110"/>
      <c r="C86" s="180">
        <v>1069999100</v>
      </c>
      <c r="D86" s="98">
        <f>IFERROR(VLOOKUP($C86,'FC1-Pre TB 2024'!$C$10:$D$276,2,FALSE),0)</f>
        <v>0</v>
      </c>
      <c r="E86" s="98">
        <f>IFERROR(VLOOKUP($C86,'FC1-Pre TB 2024'!$C$10:$E$276,3,FALSE),0)</f>
        <v>0</v>
      </c>
      <c r="F86" s="303">
        <f t="shared" si="1"/>
        <v>0</v>
      </c>
      <c r="G86" s="97"/>
      <c r="H86" s="97"/>
      <c r="I86" s="97"/>
      <c r="J86" s="101"/>
      <c r="K86" s="101"/>
      <c r="L86" s="101"/>
      <c r="M86" s="101"/>
      <c r="N86" s="97"/>
      <c r="O86" s="97"/>
      <c r="P86" s="97"/>
      <c r="Q86" s="97"/>
      <c r="R86" s="101"/>
      <c r="S86" s="97"/>
      <c r="AA86" s="86"/>
    </row>
    <row r="87" spans="1:27" ht="31.5" x14ac:dyDescent="0.25">
      <c r="A87" s="183" t="s">
        <v>418</v>
      </c>
      <c r="B87" s="110"/>
      <c r="C87" s="180">
        <v>1060803100</v>
      </c>
      <c r="D87" s="98">
        <f>IFERROR(VLOOKUP($C87,'FC1-Pre TB 2024'!$C$10:$D$276,2,FALSE),0)</f>
        <v>0</v>
      </c>
      <c r="E87" s="98">
        <f>IFERROR(VLOOKUP($C87,'FC1-Pre TB 2024'!$C$10:$E$276,3,FALSE),0)</f>
        <v>42892.5</v>
      </c>
      <c r="F87" s="303">
        <f t="shared" si="1"/>
        <v>42892.5</v>
      </c>
      <c r="G87" s="97"/>
      <c r="H87" s="97"/>
      <c r="I87" s="97"/>
      <c r="J87" s="101"/>
      <c r="K87" s="101"/>
      <c r="L87" s="101"/>
      <c r="M87" s="101"/>
      <c r="N87" s="97"/>
      <c r="O87" s="97"/>
      <c r="P87" s="97"/>
      <c r="Q87" s="97"/>
      <c r="R87" s="101"/>
      <c r="S87" s="97"/>
      <c r="AA87" s="86"/>
    </row>
    <row r="88" spans="1:27" s="86" customFormat="1" x14ac:dyDescent="0.25">
      <c r="A88" s="183" t="s">
        <v>354</v>
      </c>
      <c r="B88" s="110"/>
      <c r="C88" s="180">
        <v>1080102000</v>
      </c>
      <c r="D88" s="98">
        <f>IFERROR(VLOOKUP($C88,'FC1-Pre TB 2024'!$C$10:$D$276,2,FALSE),0)</f>
        <v>997450</v>
      </c>
      <c r="E88" s="98">
        <f>IFERROR(VLOOKUP($C88,'FC1-Pre TB 2024'!$C$10:$E$276,3,FALSE),0)</f>
        <v>0</v>
      </c>
      <c r="F88" s="303">
        <f t="shared" si="1"/>
        <v>997450</v>
      </c>
      <c r="G88" s="97"/>
      <c r="H88" s="97"/>
      <c r="I88" s="97"/>
      <c r="J88" s="101"/>
      <c r="K88" s="101"/>
      <c r="L88" s="101"/>
      <c r="M88" s="101"/>
      <c r="N88" s="97"/>
      <c r="O88" s="97"/>
      <c r="P88" s="97"/>
      <c r="Q88" s="97"/>
      <c r="R88" s="101"/>
      <c r="S88" s="97"/>
    </row>
    <row r="89" spans="1:27" s="86" customFormat="1" x14ac:dyDescent="0.25">
      <c r="A89" s="183" t="s">
        <v>355</v>
      </c>
      <c r="B89" s="110"/>
      <c r="C89" s="180">
        <v>1080102100</v>
      </c>
      <c r="D89" s="98">
        <f>IFERROR(VLOOKUP($C89,'FC1-Pre TB 2024'!$C$10:$D$276,2,FALSE),0)</f>
        <v>0</v>
      </c>
      <c r="E89" s="98">
        <f>IFERROR(VLOOKUP($C89,'FC1-Pre TB 2024'!$C$10:$E$276,3,FALSE),0)</f>
        <v>94757.759999999995</v>
      </c>
      <c r="F89" s="303">
        <f t="shared" si="1"/>
        <v>94757.759999999995</v>
      </c>
      <c r="G89" s="97"/>
      <c r="H89" s="97"/>
      <c r="I89" s="97"/>
      <c r="J89" s="101"/>
      <c r="K89" s="101"/>
      <c r="L89" s="101"/>
      <c r="M89" s="101"/>
      <c r="N89" s="97"/>
      <c r="O89" s="97"/>
      <c r="P89" s="97"/>
      <c r="Q89" s="97"/>
      <c r="R89" s="101"/>
      <c r="S89" s="97"/>
    </row>
    <row r="90" spans="1:27" s="86" customFormat="1" hidden="1" x14ac:dyDescent="0.25">
      <c r="A90" s="183" t="s">
        <v>228</v>
      </c>
      <c r="B90" s="110"/>
      <c r="C90" s="180">
        <v>1990102000</v>
      </c>
      <c r="D90" s="98">
        <f>IFERROR(VLOOKUP($C90,'FC1-Pre TB 2024'!$C$10:$D$276,2,FALSE),0)</f>
        <v>0</v>
      </c>
      <c r="E90" s="98">
        <f>IFERROR(VLOOKUP($C90,'FC1-Pre TB 2024'!$C$10:$E$276,3,FALSE),0)</f>
        <v>0</v>
      </c>
      <c r="F90" s="303">
        <f t="shared" si="1"/>
        <v>0</v>
      </c>
      <c r="G90" s="97"/>
      <c r="H90" s="97"/>
      <c r="I90" s="97"/>
      <c r="J90" s="101"/>
      <c r="K90" s="101"/>
      <c r="L90" s="101"/>
      <c r="M90" s="101"/>
      <c r="N90" s="97"/>
      <c r="O90" s="97"/>
      <c r="P90" s="97"/>
      <c r="Q90" s="97"/>
      <c r="R90" s="101"/>
      <c r="S90" s="97"/>
    </row>
    <row r="91" spans="1:27" s="86" customFormat="1" x14ac:dyDescent="0.25">
      <c r="A91" s="183" t="s">
        <v>398</v>
      </c>
      <c r="B91" s="110"/>
      <c r="C91" s="180">
        <v>1990103000</v>
      </c>
      <c r="D91" s="98">
        <f>IFERROR(VLOOKUP($C91,'FC1-Pre TB 2024'!$C$10:$D$276,2,FALSE),0)</f>
        <v>21337000</v>
      </c>
      <c r="E91" s="98">
        <f>IFERROR(VLOOKUP($C91,'FC1-Pre TB 2024'!$C$10:$E$276,3,FALSE),0)</f>
        <v>0</v>
      </c>
      <c r="F91" s="303">
        <f t="shared" si="1"/>
        <v>21337000</v>
      </c>
      <c r="G91" s="97"/>
      <c r="H91" s="97"/>
      <c r="I91" s="97"/>
      <c r="J91" s="101"/>
      <c r="K91" s="101"/>
      <c r="L91" s="101"/>
      <c r="M91" s="101"/>
      <c r="N91" s="97"/>
      <c r="O91" s="97"/>
      <c r="P91" s="97"/>
      <c r="Q91" s="97"/>
      <c r="R91" s="101"/>
      <c r="S91" s="97"/>
    </row>
    <row r="92" spans="1:27" s="86" customFormat="1" hidden="1" x14ac:dyDescent="0.25">
      <c r="A92" s="183" t="s">
        <v>12</v>
      </c>
      <c r="B92" s="94"/>
      <c r="C92" s="180">
        <v>1990104000</v>
      </c>
      <c r="D92" s="98">
        <f>IFERROR(VLOOKUP($C92,'FC1-Pre TB 2024'!$C$10:$D$276,2,FALSE),0)</f>
        <v>0</v>
      </c>
      <c r="E92" s="98">
        <f>IFERROR(VLOOKUP($C92,'FC1-Pre TB 2024'!$C$10:$E$276,3,FALSE),0)</f>
        <v>0</v>
      </c>
      <c r="F92" s="303">
        <f t="shared" si="1"/>
        <v>0</v>
      </c>
      <c r="G92" s="97"/>
      <c r="H92" s="97"/>
      <c r="I92" s="97"/>
      <c r="J92" s="101"/>
      <c r="K92" s="101"/>
      <c r="L92" s="101"/>
      <c r="M92" s="101"/>
      <c r="N92" s="97"/>
      <c r="O92" s="97"/>
      <c r="P92" s="97"/>
      <c r="Q92" s="97"/>
      <c r="R92" s="101"/>
      <c r="S92" s="97"/>
    </row>
    <row r="93" spans="1:27" s="86" customFormat="1" x14ac:dyDescent="0.25">
      <c r="A93" s="183" t="s">
        <v>226</v>
      </c>
      <c r="B93" s="110"/>
      <c r="C93" s="180">
        <v>1990201000</v>
      </c>
      <c r="D93" s="98">
        <f>IFERROR(VLOOKUP($C93,'FC1-Pre TB 2024'!$C$10:$D$276,2,FALSE),0)</f>
        <v>82068.67</v>
      </c>
      <c r="E93" s="98">
        <f>IFERROR(VLOOKUP($C93,'FC1-Pre TB 2024'!$C$10:$E$276,3,FALSE),0)</f>
        <v>0</v>
      </c>
      <c r="F93" s="303">
        <f t="shared" si="1"/>
        <v>82068.67</v>
      </c>
      <c r="G93" s="97"/>
      <c r="H93" s="97"/>
      <c r="I93" s="97"/>
      <c r="J93" s="101"/>
      <c r="K93" s="101"/>
      <c r="L93" s="101"/>
      <c r="M93" s="101"/>
      <c r="N93" s="97"/>
      <c r="O93" s="97"/>
      <c r="P93" s="97"/>
      <c r="Q93" s="97"/>
      <c r="R93" s="101"/>
      <c r="S93" s="97"/>
    </row>
    <row r="94" spans="1:27" s="86" customFormat="1" x14ac:dyDescent="0.25">
      <c r="A94" s="183" t="s">
        <v>225</v>
      </c>
      <c r="B94" s="110"/>
      <c r="C94" s="180">
        <v>1990202000</v>
      </c>
      <c r="D94" s="98">
        <f>IFERROR(VLOOKUP($C94,'FC1-Pre TB 2024'!$C$10:$D$276,2,FALSE),0)</f>
        <v>104861.57</v>
      </c>
      <c r="E94" s="98">
        <f>IFERROR(VLOOKUP($C94,'FC1-Pre TB 2024'!$C$10:$E$276,3,FALSE),0)</f>
        <v>0</v>
      </c>
      <c r="F94" s="303">
        <f t="shared" si="1"/>
        <v>104861.57</v>
      </c>
      <c r="G94" s="97"/>
      <c r="H94" s="97"/>
      <c r="I94" s="97"/>
      <c r="J94" s="101"/>
      <c r="K94" s="101"/>
      <c r="L94" s="101"/>
      <c r="M94" s="101"/>
      <c r="N94" s="97"/>
      <c r="O94" s="97"/>
      <c r="P94" s="97"/>
      <c r="Q94" s="97"/>
      <c r="R94" s="101"/>
      <c r="S94" s="97"/>
    </row>
    <row r="95" spans="1:27" s="86" customFormat="1" x14ac:dyDescent="0.25">
      <c r="A95" s="183" t="s">
        <v>224</v>
      </c>
      <c r="B95" s="110"/>
      <c r="C95" s="180">
        <v>1990205000</v>
      </c>
      <c r="D95" s="98">
        <f>IFERROR(VLOOKUP($C95,'FC1-Pre TB 2024'!$C$10:$D$276,2,FALSE),0)</f>
        <v>748200.5</v>
      </c>
      <c r="E95" s="98">
        <f>IFERROR(VLOOKUP($C95,'FC1-Pre TB 2024'!$C$10:$E$276,3,FALSE),0)</f>
        <v>0</v>
      </c>
      <c r="F95" s="303">
        <f t="shared" si="1"/>
        <v>748200.5</v>
      </c>
      <c r="G95" s="97"/>
      <c r="H95" s="97"/>
      <c r="I95" s="97"/>
      <c r="J95" s="101"/>
      <c r="K95" s="101"/>
      <c r="L95" s="101"/>
      <c r="M95" s="101"/>
      <c r="N95" s="97"/>
      <c r="O95" s="97"/>
      <c r="P95" s="97"/>
      <c r="Q95" s="97"/>
      <c r="R95" s="101"/>
      <c r="S95" s="97"/>
    </row>
    <row r="96" spans="1:27" s="86" customFormat="1" hidden="1" x14ac:dyDescent="0.25">
      <c r="A96" s="183" t="s">
        <v>459</v>
      </c>
      <c r="B96" s="110"/>
      <c r="C96" s="180">
        <v>1990210001</v>
      </c>
      <c r="D96" s="98">
        <f>IFERROR(VLOOKUP($C96,'FC1-Pre TB 2024'!$C$10:$D$276,2,FALSE),0)</f>
        <v>0</v>
      </c>
      <c r="E96" s="98">
        <f>IFERROR(VLOOKUP($C96,'FC1-Pre TB 2024'!$C$10:$E$276,3,FALSE),0)</f>
        <v>0</v>
      </c>
      <c r="F96" s="303">
        <f t="shared" si="1"/>
        <v>0</v>
      </c>
      <c r="G96" s="97"/>
      <c r="H96" s="97"/>
      <c r="I96" s="97"/>
      <c r="J96" s="101"/>
      <c r="K96" s="101"/>
      <c r="L96" s="101"/>
      <c r="M96" s="101"/>
      <c r="N96" s="97"/>
      <c r="O96" s="97"/>
      <c r="P96" s="97"/>
      <c r="Q96" s="97"/>
      <c r="R96" s="101"/>
      <c r="S96" s="97"/>
    </row>
    <row r="97" spans="1:19" s="86" customFormat="1" x14ac:dyDescent="0.25">
      <c r="A97" s="183" t="s">
        <v>545</v>
      </c>
      <c r="B97" s="110"/>
      <c r="C97" s="180">
        <v>1990299000</v>
      </c>
      <c r="D97" s="98">
        <f>IFERROR(VLOOKUP($C97,'FC1-Pre TB 2024'!$C$10:$D$276,2,FALSE),0)</f>
        <v>47350</v>
      </c>
      <c r="E97" s="98">
        <f>IFERROR(VLOOKUP($C97,'FC1-Pre TB 2024'!$C$10:$E$276,3,FALSE),0)</f>
        <v>0</v>
      </c>
      <c r="F97" s="303">
        <f t="shared" si="1"/>
        <v>47350</v>
      </c>
      <c r="G97" s="97"/>
      <c r="H97" s="97"/>
      <c r="I97" s="97"/>
      <c r="J97" s="101"/>
      <c r="K97" s="97"/>
      <c r="L97" s="101"/>
      <c r="M97" s="101"/>
      <c r="N97" s="97"/>
      <c r="O97" s="97"/>
      <c r="P97" s="97"/>
      <c r="Q97" s="97"/>
      <c r="R97" s="101"/>
      <c r="S97" s="97"/>
    </row>
    <row r="98" spans="1:19" s="86" customFormat="1" x14ac:dyDescent="0.25">
      <c r="A98" s="183" t="s">
        <v>223</v>
      </c>
      <c r="B98" s="110"/>
      <c r="C98" s="180">
        <v>1990302000</v>
      </c>
      <c r="D98" s="98">
        <f>IFERROR(VLOOKUP($C98,'FC1-Pre TB 2024'!$C$10:$D$276,2,FALSE),0)</f>
        <v>561610.4</v>
      </c>
      <c r="E98" s="98">
        <f>IFERROR(VLOOKUP($C98,'FC1-Pre TB 2024'!$C$10:$E$276,3,FALSE),0)</f>
        <v>0</v>
      </c>
      <c r="F98" s="303">
        <f>D98+E98</f>
        <v>561610.4</v>
      </c>
      <c r="G98" s="97"/>
      <c r="H98" s="97"/>
      <c r="I98" s="97"/>
      <c r="J98" s="101"/>
      <c r="K98" s="97"/>
      <c r="L98" s="101"/>
      <c r="M98" s="101"/>
      <c r="N98" s="97"/>
      <c r="O98" s="97"/>
      <c r="P98" s="97"/>
      <c r="Q98" s="97"/>
      <c r="R98" s="101"/>
      <c r="S98" s="97"/>
    </row>
    <row r="99" spans="1:19" s="86" customFormat="1" x14ac:dyDescent="0.25">
      <c r="A99" s="183" t="s">
        <v>29</v>
      </c>
      <c r="B99" s="110"/>
      <c r="C99" s="180">
        <v>2010101000</v>
      </c>
      <c r="D99" s="98">
        <f>IFERROR(VLOOKUP($C99,'FC1-Pre TB 2024'!$C$10:$D$276,2,FALSE),0)</f>
        <v>0</v>
      </c>
      <c r="E99" s="98">
        <f>IFERROR(VLOOKUP($C99,'FC1-Pre TB 2024'!$C$10:$E$276,3,FALSE),0)</f>
        <v>185060554.27000001</v>
      </c>
      <c r="F99" s="303">
        <f t="shared" ref="F99:F100" si="2">D99+E99</f>
        <v>185060554.27000001</v>
      </c>
      <c r="G99" s="97"/>
      <c r="H99" s="97"/>
      <c r="I99" s="97"/>
      <c r="J99" s="101"/>
      <c r="K99" s="101"/>
      <c r="L99" s="101"/>
      <c r="M99" s="101"/>
      <c r="N99" s="97"/>
      <c r="O99" s="97"/>
      <c r="P99" s="97"/>
      <c r="Q99" s="97"/>
      <c r="R99" s="101"/>
      <c r="S99" s="97"/>
    </row>
    <row r="100" spans="1:19" s="86" customFormat="1" x14ac:dyDescent="0.25">
      <c r="A100" s="183" t="s">
        <v>449</v>
      </c>
      <c r="B100" s="110"/>
      <c r="C100" s="180">
        <v>2010107000</v>
      </c>
      <c r="D100" s="98">
        <f>IFERROR(VLOOKUP($C100,'FC1-Pre TB 2024'!$C$10:$D$276,2,FALSE),0)</f>
        <v>0</v>
      </c>
      <c r="E100" s="98">
        <f>IFERROR(VLOOKUP($C100,'FC1-Pre TB 2024'!$C$10:$E$276,3,FALSE),0)</f>
        <v>149560</v>
      </c>
      <c r="F100" s="303">
        <f t="shared" si="2"/>
        <v>149560</v>
      </c>
      <c r="G100" s="97"/>
      <c r="H100" s="97"/>
      <c r="I100" s="97"/>
      <c r="J100" s="101"/>
      <c r="K100" s="101"/>
      <c r="L100" s="101"/>
      <c r="M100" s="101"/>
      <c r="N100" s="97"/>
      <c r="O100" s="97"/>
      <c r="P100" s="97"/>
      <c r="Q100" s="97"/>
      <c r="R100" s="101"/>
      <c r="S100" s="97"/>
    </row>
    <row r="101" spans="1:19" s="86" customFormat="1" x14ac:dyDescent="0.25">
      <c r="A101" s="183" t="s">
        <v>30</v>
      </c>
      <c r="B101" s="94"/>
      <c r="C101" s="180">
        <v>2020101000</v>
      </c>
      <c r="D101" s="98">
        <f>IFERROR(VLOOKUP($C101,'FC1-Pre TB 2024'!$C$10:$D$276,2,FALSE),0)</f>
        <v>0</v>
      </c>
      <c r="E101" s="98">
        <f>IFERROR(VLOOKUP($C101,'FC1-Pre TB 2024'!$C$10:$E$276,3,FALSE),0)</f>
        <v>1025567.56</v>
      </c>
      <c r="F101" s="303">
        <f t="shared" si="1"/>
        <v>1025567.56</v>
      </c>
      <c r="G101" s="97"/>
      <c r="H101" s="97"/>
      <c r="I101" s="97"/>
      <c r="J101" s="101"/>
      <c r="K101" s="101"/>
      <c r="L101" s="101"/>
      <c r="M101" s="101"/>
      <c r="N101" s="97"/>
      <c r="O101" s="97"/>
      <c r="P101" s="97"/>
      <c r="Q101" s="97"/>
      <c r="R101" s="101"/>
      <c r="S101" s="97"/>
    </row>
    <row r="102" spans="1:19" s="86" customFormat="1" hidden="1" x14ac:dyDescent="0.25">
      <c r="A102" s="183" t="s">
        <v>31</v>
      </c>
      <c r="B102" s="94"/>
      <c r="C102" s="180">
        <v>2020102000</v>
      </c>
      <c r="D102" s="98">
        <f>IFERROR(VLOOKUP($C102,'FC1-Pre TB 2024'!$C$10:$D$276,2,FALSE),0)</f>
        <v>0</v>
      </c>
      <c r="E102" s="98">
        <f>IFERROR(VLOOKUP($C102,'FC1-Pre TB 2024'!$C$10:$E$276,3,FALSE),0)</f>
        <v>0</v>
      </c>
      <c r="F102" s="303">
        <f t="shared" si="1"/>
        <v>0</v>
      </c>
      <c r="G102" s="97"/>
      <c r="H102" s="97"/>
      <c r="I102" s="97"/>
      <c r="J102" s="101"/>
      <c r="K102" s="101"/>
      <c r="L102" s="101"/>
      <c r="M102" s="101"/>
      <c r="N102" s="97"/>
      <c r="O102" s="97"/>
      <c r="P102" s="97"/>
      <c r="Q102" s="97"/>
      <c r="R102" s="101"/>
      <c r="S102" s="97"/>
    </row>
    <row r="103" spans="1:19" s="86" customFormat="1" x14ac:dyDescent="0.25">
      <c r="A103" s="183" t="s">
        <v>391</v>
      </c>
      <c r="B103" s="94"/>
      <c r="C103" s="180">
        <v>2020102001</v>
      </c>
      <c r="D103" s="98">
        <f>IFERROR(VLOOKUP($C103,'FC1-Pre TB 2024'!$C$10:$D$276,2,FALSE),0)</f>
        <v>0</v>
      </c>
      <c r="E103" s="98">
        <f>IFERROR(VLOOKUP($C103,'FC1-Pre TB 2024'!$C$10:$E$276,3,FALSE),0)</f>
        <v>71741.22</v>
      </c>
      <c r="F103" s="303">
        <f t="shared" si="1"/>
        <v>71741.22</v>
      </c>
      <c r="G103" s="97"/>
      <c r="H103" s="97"/>
      <c r="I103" s="97"/>
      <c r="J103" s="101"/>
      <c r="K103" s="101"/>
      <c r="L103" s="101"/>
      <c r="M103" s="101"/>
      <c r="N103" s="97"/>
      <c r="O103" s="97"/>
      <c r="P103" s="97"/>
      <c r="Q103" s="97"/>
      <c r="R103" s="101"/>
      <c r="S103" s="97"/>
    </row>
    <row r="104" spans="1:19" s="86" customFormat="1" hidden="1" x14ac:dyDescent="0.25">
      <c r="A104" s="183" t="s">
        <v>392</v>
      </c>
      <c r="B104" s="94"/>
      <c r="C104" s="180">
        <v>2020102002</v>
      </c>
      <c r="D104" s="98">
        <f>IFERROR(VLOOKUP($C104,'FC1-Pre TB 2024'!$C$10:$D$276,2,FALSE),0)</f>
        <v>0</v>
      </c>
      <c r="E104" s="98">
        <f>IFERROR(VLOOKUP($C104,'FC1-Pre TB 2024'!$C$10:$E$276,3,FALSE),0)</f>
        <v>0</v>
      </c>
      <c r="F104" s="303">
        <f t="shared" si="1"/>
        <v>0</v>
      </c>
      <c r="G104" s="97"/>
      <c r="H104" s="97"/>
      <c r="I104" s="97"/>
      <c r="J104" s="101"/>
      <c r="K104" s="101"/>
      <c r="L104" s="101"/>
      <c r="M104" s="101"/>
      <c r="N104" s="97"/>
      <c r="O104" s="97"/>
      <c r="P104" s="97"/>
      <c r="Q104" s="97"/>
      <c r="R104" s="101"/>
      <c r="S104" s="97"/>
    </row>
    <row r="105" spans="1:19" s="86" customFormat="1" x14ac:dyDescent="0.25">
      <c r="A105" s="183" t="s">
        <v>393</v>
      </c>
      <c r="B105" s="110"/>
      <c r="C105" s="180">
        <v>2020102003</v>
      </c>
      <c r="D105" s="98">
        <f>IFERROR(VLOOKUP($C105,'FC1-Pre TB 2024'!$C$10:$D$276,2,FALSE),0)</f>
        <v>0</v>
      </c>
      <c r="E105" s="98">
        <f>IFERROR(VLOOKUP($C105,'FC1-Pre TB 2024'!$C$10:$E$276,3,FALSE),0)</f>
        <v>65473.78</v>
      </c>
      <c r="F105" s="303">
        <f t="shared" si="1"/>
        <v>65473.78</v>
      </c>
      <c r="G105" s="97"/>
      <c r="H105" s="97"/>
      <c r="I105" s="97"/>
      <c r="J105" s="101"/>
      <c r="K105" s="101"/>
      <c r="L105" s="101"/>
      <c r="M105" s="101"/>
      <c r="N105" s="97"/>
      <c r="O105" s="97"/>
      <c r="P105" s="97"/>
      <c r="Q105" s="97"/>
      <c r="R105" s="101"/>
      <c r="S105" s="97"/>
    </row>
    <row r="106" spans="1:19" s="86" customFormat="1" x14ac:dyDescent="0.25">
      <c r="A106" s="183" t="s">
        <v>394</v>
      </c>
      <c r="B106" s="94"/>
      <c r="C106" s="180">
        <v>2020102004</v>
      </c>
      <c r="D106" s="98">
        <f>IFERROR(VLOOKUP($C106,'FC1-Pre TB 2024'!$C$10:$D$276,2,FALSE),0)</f>
        <v>0</v>
      </c>
      <c r="E106" s="98">
        <f>IFERROR(VLOOKUP($C106,'FC1-Pre TB 2024'!$C$10:$E$276,3,FALSE),0)</f>
        <v>1705.17</v>
      </c>
      <c r="F106" s="303">
        <f t="shared" si="1"/>
        <v>1705.17</v>
      </c>
      <c r="G106" s="97"/>
      <c r="H106" s="97"/>
      <c r="I106" s="97"/>
      <c r="J106" s="101"/>
      <c r="K106" s="101"/>
      <c r="L106" s="101"/>
      <c r="M106" s="101"/>
      <c r="N106" s="97"/>
      <c r="O106" s="97"/>
      <c r="P106" s="97"/>
      <c r="Q106" s="97"/>
      <c r="R106" s="101"/>
      <c r="S106" s="97"/>
    </row>
    <row r="107" spans="1:19" s="86" customFormat="1" hidden="1" x14ac:dyDescent="0.25">
      <c r="A107" s="183" t="s">
        <v>32</v>
      </c>
      <c r="B107" s="94"/>
      <c r="C107" s="180">
        <v>2020103000</v>
      </c>
      <c r="D107" s="98">
        <f>IFERROR(VLOOKUP($C107,'FC1-Pre TB 2024'!$C$10:$D$276,2,FALSE),0)</f>
        <v>0</v>
      </c>
      <c r="E107" s="98">
        <f>IFERROR(VLOOKUP($C107,'FC1-Pre TB 2024'!$C$10:$E$276,3,FALSE),0)</f>
        <v>0</v>
      </c>
      <c r="F107" s="303">
        <f t="shared" si="1"/>
        <v>0</v>
      </c>
      <c r="G107" s="97"/>
      <c r="H107" s="97"/>
      <c r="I107" s="97"/>
      <c r="J107" s="101"/>
      <c r="K107" s="101"/>
      <c r="L107" s="101"/>
      <c r="M107" s="101"/>
      <c r="N107" s="97"/>
      <c r="O107" s="97"/>
      <c r="P107" s="97"/>
      <c r="Q107" s="97"/>
      <c r="R107" s="101"/>
      <c r="S107" s="97"/>
    </row>
    <row r="108" spans="1:19" s="86" customFormat="1" x14ac:dyDescent="0.25">
      <c r="A108" s="183" t="s">
        <v>395</v>
      </c>
      <c r="B108" s="94"/>
      <c r="C108" s="180">
        <v>2020103001</v>
      </c>
      <c r="D108" s="98">
        <f>IFERROR(VLOOKUP($C108,'FC1-Pre TB 2024'!$C$10:$D$276,2,FALSE),0)</f>
        <v>0</v>
      </c>
      <c r="E108" s="98">
        <f>IFERROR(VLOOKUP($C108,'FC1-Pre TB 2024'!$C$10:$E$276,3,FALSE),0)</f>
        <v>800648.79</v>
      </c>
      <c r="F108" s="303">
        <f t="shared" si="1"/>
        <v>800648.79</v>
      </c>
      <c r="G108" s="97"/>
      <c r="H108" s="97"/>
      <c r="I108" s="97"/>
      <c r="J108" s="101"/>
      <c r="K108" s="101"/>
      <c r="L108" s="101"/>
      <c r="M108" s="101"/>
      <c r="N108" s="97"/>
      <c r="O108" s="97"/>
      <c r="P108" s="97"/>
      <c r="Q108" s="97"/>
      <c r="R108" s="101"/>
      <c r="S108" s="97"/>
    </row>
    <row r="109" spans="1:19" s="86" customFormat="1" x14ac:dyDescent="0.25">
      <c r="A109" s="183" t="s">
        <v>396</v>
      </c>
      <c r="B109" s="110"/>
      <c r="C109" s="180">
        <v>2020103002</v>
      </c>
      <c r="D109" s="98">
        <f>IFERROR(VLOOKUP($C109,'FC1-Pre TB 2024'!$C$10:$D$276,2,FALSE),0)</f>
        <v>0</v>
      </c>
      <c r="E109" s="98">
        <f>IFERROR(VLOOKUP($C109,'FC1-Pre TB 2024'!$C$10:$E$276,3,FALSE),0)</f>
        <v>31454.42</v>
      </c>
      <c r="F109" s="303">
        <f t="shared" si="1"/>
        <v>31454.42</v>
      </c>
      <c r="G109" s="97"/>
      <c r="H109" s="97"/>
      <c r="I109" s="97"/>
      <c r="J109" s="101"/>
      <c r="K109" s="101"/>
      <c r="L109" s="101"/>
      <c r="M109" s="101"/>
      <c r="N109" s="97"/>
      <c r="O109" s="97"/>
      <c r="P109" s="97"/>
      <c r="Q109" s="97"/>
      <c r="R109" s="101"/>
      <c r="S109" s="97"/>
    </row>
    <row r="110" spans="1:19" s="86" customFormat="1" x14ac:dyDescent="0.25">
      <c r="A110" s="183" t="s">
        <v>397</v>
      </c>
      <c r="B110" s="110"/>
      <c r="C110" s="180">
        <v>2020103003</v>
      </c>
      <c r="D110" s="98">
        <f>IFERROR(VLOOKUP($C110,'FC1-Pre TB 2024'!$C$10:$D$276,2,FALSE),0)</f>
        <v>0</v>
      </c>
      <c r="E110" s="98">
        <f>IFERROR(VLOOKUP($C110,'FC1-Pre TB 2024'!$C$10:$E$276,3,FALSE),0)</f>
        <v>36203.54</v>
      </c>
      <c r="F110" s="303">
        <f t="shared" si="1"/>
        <v>36203.54</v>
      </c>
      <c r="G110" s="97"/>
      <c r="H110" s="97"/>
      <c r="I110" s="97"/>
      <c r="J110" s="101"/>
      <c r="K110" s="101"/>
      <c r="L110" s="101"/>
      <c r="M110" s="101"/>
      <c r="N110" s="97"/>
      <c r="O110" s="97"/>
      <c r="P110" s="97"/>
      <c r="Q110" s="97"/>
      <c r="R110" s="101"/>
      <c r="S110" s="97"/>
    </row>
    <row r="111" spans="1:19" s="86" customFormat="1" x14ac:dyDescent="0.25">
      <c r="A111" s="183" t="s">
        <v>33</v>
      </c>
      <c r="B111" s="110"/>
      <c r="C111" s="180">
        <v>2020104000</v>
      </c>
      <c r="D111" s="98">
        <f>IFERROR(VLOOKUP($C111,'FC1-Pre TB 2024'!$C$10:$D$276,2,FALSE),0)</f>
        <v>0</v>
      </c>
      <c r="E111" s="98">
        <f>IFERROR(VLOOKUP($C111,'FC1-Pre TB 2024'!$C$10:$E$276,3,FALSE),0)</f>
        <v>915693.23</v>
      </c>
      <c r="F111" s="303">
        <f t="shared" si="1"/>
        <v>915693.23</v>
      </c>
      <c r="G111" s="97"/>
      <c r="H111" s="97"/>
      <c r="I111" s="97"/>
      <c r="J111" s="101"/>
      <c r="K111" s="101"/>
      <c r="L111" s="101"/>
      <c r="M111" s="101"/>
      <c r="N111" s="97"/>
      <c r="O111" s="97"/>
      <c r="P111" s="97"/>
      <c r="Q111" s="97"/>
      <c r="R111" s="101"/>
      <c r="S111" s="97"/>
    </row>
    <row r="112" spans="1:19" s="86" customFormat="1" x14ac:dyDescent="0.25">
      <c r="A112" s="183" t="s">
        <v>492</v>
      </c>
      <c r="B112" s="110"/>
      <c r="C112" s="180">
        <v>2020105000</v>
      </c>
      <c r="D112" s="98">
        <f>IFERROR(VLOOKUP($C112,'FC1-Pre TB 2024'!$C$10:$D$276,2,FALSE),0)</f>
        <v>0</v>
      </c>
      <c r="E112" s="98">
        <f>IFERROR(VLOOKUP($C112,'FC1-Pre TB 2024'!$C$10:$E$276,3,FALSE),0)</f>
        <v>210000</v>
      </c>
      <c r="F112" s="303">
        <f t="shared" si="1"/>
        <v>210000</v>
      </c>
      <c r="G112" s="97"/>
      <c r="H112" s="97"/>
      <c r="I112" s="97"/>
      <c r="J112" s="101"/>
      <c r="K112" s="101"/>
      <c r="L112" s="101"/>
      <c r="M112" s="101"/>
      <c r="N112" s="97"/>
      <c r="O112" s="97"/>
      <c r="P112" s="97"/>
      <c r="Q112" s="97"/>
      <c r="R112" s="101"/>
      <c r="S112" s="97"/>
    </row>
    <row r="113" spans="1:29" s="86" customFormat="1" x14ac:dyDescent="0.25">
      <c r="A113" s="183" t="s">
        <v>493</v>
      </c>
      <c r="B113" s="110"/>
      <c r="C113" s="180">
        <v>2020106000</v>
      </c>
      <c r="D113" s="98">
        <f>IFERROR(VLOOKUP($C113,'FC1-Pre TB 2024'!$C$10:$D$276,2,FALSE),0)</f>
        <v>0</v>
      </c>
      <c r="E113" s="98">
        <f>IFERROR(VLOOKUP($C113,'FC1-Pre TB 2024'!$C$10:$E$276,3,FALSE),0)</f>
        <v>2435287.89</v>
      </c>
      <c r="F113" s="303">
        <f t="shared" si="1"/>
        <v>2435287.89</v>
      </c>
      <c r="G113" s="97"/>
      <c r="H113" s="97"/>
      <c r="I113" s="97"/>
      <c r="J113" s="101"/>
      <c r="K113" s="101"/>
      <c r="L113" s="101"/>
      <c r="M113" s="101"/>
      <c r="N113" s="97"/>
      <c r="O113" s="97"/>
      <c r="P113" s="97"/>
      <c r="Q113" s="97"/>
      <c r="R113" s="101"/>
      <c r="S113" s="97"/>
    </row>
    <row r="114" spans="1:29" s="86" customFormat="1" x14ac:dyDescent="0.25">
      <c r="A114" s="183" t="s">
        <v>494</v>
      </c>
      <c r="B114" s="110"/>
      <c r="C114" s="180">
        <v>2020107000</v>
      </c>
      <c r="D114" s="98">
        <f>IFERROR(VLOOKUP($C114,'FC1-Pre TB 2024'!$C$10:$D$276,2,FALSE),0)</f>
        <v>0</v>
      </c>
      <c r="E114" s="98">
        <f>IFERROR(VLOOKUP($C114,'FC1-Pre TB 2024'!$C$10:$E$276,3,FALSE),0)</f>
        <v>11098873.93</v>
      </c>
      <c r="F114" s="303">
        <f t="shared" si="1"/>
        <v>11098873.93</v>
      </c>
      <c r="G114" s="97"/>
      <c r="H114" s="97"/>
      <c r="I114" s="97"/>
      <c r="J114" s="101"/>
      <c r="K114" s="101"/>
      <c r="L114" s="101"/>
      <c r="M114" s="101"/>
      <c r="N114" s="97"/>
      <c r="O114" s="97"/>
      <c r="P114" s="97"/>
      <c r="Q114" s="97"/>
      <c r="R114" s="101"/>
      <c r="S114" s="97"/>
    </row>
    <row r="115" spans="1:29" s="86" customFormat="1" hidden="1" x14ac:dyDescent="0.25">
      <c r="A115" s="183" t="s">
        <v>35</v>
      </c>
      <c r="B115" s="110"/>
      <c r="C115" s="180">
        <v>2030101000</v>
      </c>
      <c r="D115" s="98">
        <f>IFERROR(VLOOKUP($C115,'FC1-Pre TB 2024'!$C$10:$D$276,2,FALSE),0)</f>
        <v>0</v>
      </c>
      <c r="E115" s="98">
        <f>IFERROR(VLOOKUP($C115,'FC1-Pre TB 2024'!$C$10:$E$276,3,FALSE),0)</f>
        <v>0</v>
      </c>
      <c r="F115" s="303">
        <f t="shared" si="1"/>
        <v>0</v>
      </c>
      <c r="G115" s="97"/>
      <c r="H115" s="97"/>
      <c r="I115" s="97"/>
      <c r="J115" s="101"/>
      <c r="K115" s="101"/>
      <c r="L115" s="101"/>
      <c r="M115" s="101"/>
      <c r="N115" s="97"/>
      <c r="O115" s="97"/>
      <c r="P115" s="97"/>
      <c r="Q115" s="97"/>
      <c r="R115" s="101"/>
      <c r="S115" s="97"/>
    </row>
    <row r="116" spans="1:29" s="86" customFormat="1" hidden="1" x14ac:dyDescent="0.25">
      <c r="A116" s="183" t="s">
        <v>221</v>
      </c>
      <c r="B116" s="110"/>
      <c r="C116" s="180">
        <v>2030103000</v>
      </c>
      <c r="D116" s="98">
        <f>IFERROR(VLOOKUP($C116,'FC1-Pre TB 2024'!$C$10:$D$276,2,FALSE),0)</f>
        <v>0</v>
      </c>
      <c r="E116" s="98">
        <f>IFERROR(VLOOKUP($C116,'FC1-Pre TB 2024'!$C$10:$E$276,3,FALSE),0)</f>
        <v>0</v>
      </c>
      <c r="F116" s="303">
        <f t="shared" si="1"/>
        <v>0</v>
      </c>
      <c r="G116" s="97"/>
      <c r="H116" s="97"/>
      <c r="I116" s="97"/>
      <c r="J116" s="101"/>
      <c r="K116" s="101"/>
      <c r="L116" s="101"/>
      <c r="M116" s="101"/>
      <c r="N116" s="97"/>
      <c r="O116" s="97"/>
      <c r="P116" s="97"/>
      <c r="Q116" s="97"/>
      <c r="R116" s="101"/>
      <c r="S116" s="97"/>
    </row>
    <row r="117" spans="1:29" s="86" customFormat="1" hidden="1" x14ac:dyDescent="0.25">
      <c r="A117" s="183" t="s">
        <v>353</v>
      </c>
      <c r="B117" s="110"/>
      <c r="C117" s="180">
        <v>2030105000</v>
      </c>
      <c r="D117" s="98">
        <f>IFERROR(VLOOKUP($C117,'FC1-Pre TB 2024'!$C$10:$D$276,2,FALSE),0)</f>
        <v>0</v>
      </c>
      <c r="E117" s="98">
        <f>IFERROR(VLOOKUP($C117,'FC1-Pre TB 2024'!$C$10:$E$276,3,FALSE),0)</f>
        <v>0</v>
      </c>
      <c r="F117" s="303">
        <f t="shared" si="1"/>
        <v>0</v>
      </c>
      <c r="G117" s="97"/>
      <c r="H117" s="97"/>
      <c r="I117" s="97"/>
      <c r="J117" s="101"/>
      <c r="K117" s="101"/>
      <c r="L117" s="101"/>
      <c r="M117" s="101"/>
      <c r="N117" s="97"/>
      <c r="O117" s="97"/>
      <c r="P117" s="97"/>
      <c r="Q117" s="97"/>
      <c r="R117" s="101"/>
      <c r="S117" s="97"/>
    </row>
    <row r="118" spans="1:29" s="86" customFormat="1" x14ac:dyDescent="0.25">
      <c r="A118" s="183" t="s">
        <v>482</v>
      </c>
      <c r="B118" s="110"/>
      <c r="C118" s="180">
        <v>2010102000</v>
      </c>
      <c r="D118" s="98">
        <f>IFERROR(VLOOKUP($C118,'FC1-Pre TB 2024'!$C$10:$D$276,2,FALSE),0)</f>
        <v>0</v>
      </c>
      <c r="E118" s="98">
        <f>IFERROR(VLOOKUP($C118,'FC1-Pre TB 2024'!$C$10:$E$276,3,FALSE),0)</f>
        <v>16276</v>
      </c>
      <c r="F118" s="303">
        <f t="shared" si="1"/>
        <v>16276</v>
      </c>
      <c r="G118" s="97"/>
      <c r="H118" s="97"/>
      <c r="I118" s="97"/>
      <c r="J118" s="101"/>
      <c r="K118" s="101"/>
      <c r="L118" s="101"/>
      <c r="M118" s="101"/>
      <c r="N118" s="97"/>
      <c r="O118" s="97"/>
      <c r="P118" s="97"/>
      <c r="Q118" s="97"/>
      <c r="R118" s="101"/>
      <c r="S118" s="97"/>
    </row>
    <row r="119" spans="1:29" s="86" customFormat="1" ht="31.5" hidden="1" x14ac:dyDescent="0.25">
      <c r="A119" s="183" t="s">
        <v>219</v>
      </c>
      <c r="B119" s="110"/>
      <c r="C119" s="180">
        <v>2040102000</v>
      </c>
      <c r="D119" s="98">
        <f>IFERROR(VLOOKUP($C119,'FC1-Pre TB 2024'!$C$10:$D$276,2,FALSE),0)</f>
        <v>0</v>
      </c>
      <c r="E119" s="98">
        <f>IFERROR(VLOOKUP($C119,'FC1-Pre TB 2024'!$C$10:$E$276,3,FALSE),0)</f>
        <v>0</v>
      </c>
      <c r="F119" s="303">
        <f t="shared" si="1"/>
        <v>0</v>
      </c>
      <c r="G119" s="97"/>
      <c r="H119" s="97"/>
      <c r="I119" s="97"/>
      <c r="J119" s="101"/>
      <c r="K119" s="101"/>
      <c r="L119" s="101"/>
      <c r="M119" s="101"/>
      <c r="N119" s="97"/>
      <c r="O119" s="97"/>
      <c r="P119" s="97"/>
      <c r="Q119" s="97"/>
      <c r="R119" s="101"/>
      <c r="S119" s="97"/>
    </row>
    <row r="120" spans="1:29" s="86" customFormat="1" x14ac:dyDescent="0.25">
      <c r="A120" s="183" t="s">
        <v>508</v>
      </c>
      <c r="B120" s="110"/>
      <c r="C120" s="180">
        <v>2040104000</v>
      </c>
      <c r="D120" s="98">
        <f>IFERROR(VLOOKUP($C120,'FC1-Pre TB 2024'!$C$10:$D$276,2,FALSE),0)</f>
        <v>0</v>
      </c>
      <c r="E120" s="98">
        <f>IFERROR(VLOOKUP($C120,'FC1-Pre TB 2024'!$C$10:$E$276,3,FALSE),0)</f>
        <v>6260372.3499999996</v>
      </c>
      <c r="F120" s="303">
        <f t="shared" si="1"/>
        <v>6260372.3499999996</v>
      </c>
      <c r="G120" s="97"/>
      <c r="H120" s="97"/>
      <c r="I120" s="97"/>
      <c r="J120" s="101"/>
      <c r="K120" s="101"/>
      <c r="L120" s="101"/>
      <c r="M120" s="101"/>
      <c r="N120" s="97"/>
      <c r="O120" s="97"/>
      <c r="P120" s="97"/>
      <c r="Q120" s="97"/>
      <c r="R120" s="101"/>
      <c r="S120" s="97"/>
    </row>
    <row r="121" spans="1:29" s="86" customFormat="1" x14ac:dyDescent="0.25">
      <c r="A121" s="183" t="s">
        <v>37</v>
      </c>
      <c r="B121" s="110"/>
      <c r="C121" s="180">
        <v>2999999000</v>
      </c>
      <c r="D121" s="98">
        <f>IFERROR(VLOOKUP($C121,'FC1-Pre TB 2024'!$C$10:$D$276,2,FALSE),0)</f>
        <v>0</v>
      </c>
      <c r="E121" s="98">
        <f>IFERROR(VLOOKUP($C121,'FC1-Pre TB 2024'!$C$10:$E$276,3,FALSE),0)</f>
        <v>9328622.8800000008</v>
      </c>
      <c r="F121" s="303">
        <f t="shared" si="1"/>
        <v>9328622.8800000008</v>
      </c>
      <c r="G121" s="97"/>
      <c r="H121" s="97"/>
      <c r="I121" s="97"/>
      <c r="J121" s="101"/>
      <c r="K121" s="101"/>
      <c r="L121" s="101"/>
      <c r="M121" s="101"/>
      <c r="N121" s="97"/>
      <c r="O121" s="97"/>
      <c r="P121" s="97"/>
      <c r="Q121" s="97"/>
      <c r="R121" s="101"/>
      <c r="S121" s="97"/>
    </row>
    <row r="122" spans="1:29" s="115" customFormat="1" ht="16.5" thickBot="1" x14ac:dyDescent="0.3">
      <c r="A122" s="183" t="s">
        <v>243</v>
      </c>
      <c r="B122" s="110"/>
      <c r="C122" s="180">
        <v>3010101000</v>
      </c>
      <c r="D122" s="98">
        <f>IFERROR(VLOOKUP($C122,'FC1-Pre TB 2024'!$C$10:$D$276,2,FALSE),0)</f>
        <v>0</v>
      </c>
      <c r="E122" s="98">
        <f>'FC1-Pre TB 2024'!E124+SUM('FC1-Pre TB 2024'!E125:E276)-SUM('FC1-Pre TB 2024'!D125:D276)-171224259.82</f>
        <v>730233057.53000236</v>
      </c>
      <c r="F122" s="303">
        <f t="shared" si="1"/>
        <v>730233057.53000236</v>
      </c>
      <c r="G122" s="138"/>
      <c r="H122" s="138"/>
      <c r="I122" s="138"/>
      <c r="J122" s="130"/>
      <c r="K122" s="130"/>
      <c r="L122" s="130"/>
      <c r="M122" s="130"/>
      <c r="N122" s="138"/>
      <c r="O122" s="138"/>
      <c r="P122" s="138"/>
      <c r="Q122" s="138"/>
      <c r="R122" s="130"/>
      <c r="S122" s="97"/>
      <c r="T122" s="104"/>
      <c r="U122" s="104"/>
      <c r="V122" s="104"/>
      <c r="W122" s="104"/>
      <c r="X122" s="104"/>
      <c r="AA122" s="86"/>
      <c r="AC122" s="90"/>
    </row>
    <row r="123" spans="1:29" ht="16.5" hidden="1" thickTop="1" x14ac:dyDescent="0.25">
      <c r="A123" s="183" t="s">
        <v>112</v>
      </c>
      <c r="B123" s="110"/>
      <c r="C123" s="180">
        <v>4020101099</v>
      </c>
      <c r="D123" s="98"/>
      <c r="E123" s="98"/>
      <c r="F123" s="303">
        <f t="shared" si="1"/>
        <v>0</v>
      </c>
      <c r="S123" s="97"/>
      <c r="AA123" s="86"/>
    </row>
    <row r="124" spans="1:29" ht="16.5" hidden="1" thickTop="1" x14ac:dyDescent="0.25">
      <c r="A124" s="183" t="s">
        <v>113</v>
      </c>
      <c r="B124" s="110"/>
      <c r="C124" s="180">
        <v>4020102000</v>
      </c>
      <c r="D124" s="98"/>
      <c r="E124" s="98"/>
      <c r="F124" s="303">
        <f t="shared" si="1"/>
        <v>0</v>
      </c>
      <c r="S124" s="97"/>
      <c r="AA124" s="86"/>
    </row>
    <row r="125" spans="1:29" ht="16.5" hidden="1" thickTop="1" x14ac:dyDescent="0.25">
      <c r="A125" s="183" t="s">
        <v>203</v>
      </c>
      <c r="B125" s="110"/>
      <c r="C125" s="180">
        <v>4020104001</v>
      </c>
      <c r="D125" s="98"/>
      <c r="E125" s="98"/>
      <c r="F125" s="303">
        <f t="shared" si="1"/>
        <v>0</v>
      </c>
      <c r="S125" s="97"/>
      <c r="AA125" s="86"/>
    </row>
    <row r="126" spans="1:29" ht="16.5" hidden="1" thickTop="1" x14ac:dyDescent="0.25">
      <c r="A126" s="183" t="s">
        <v>111</v>
      </c>
      <c r="B126" s="110"/>
      <c r="C126" s="180">
        <v>4020106000</v>
      </c>
      <c r="D126" s="98"/>
      <c r="E126" s="98"/>
      <c r="F126" s="303">
        <f t="shared" si="1"/>
        <v>0</v>
      </c>
      <c r="G126" s="101"/>
      <c r="H126" s="97"/>
      <c r="I126" s="97"/>
      <c r="J126" s="101"/>
      <c r="K126" s="101"/>
      <c r="L126" s="101"/>
      <c r="M126" s="101"/>
      <c r="N126" s="97"/>
      <c r="O126" s="97"/>
      <c r="P126" s="97"/>
      <c r="Q126" s="97"/>
      <c r="R126" s="101"/>
      <c r="S126" s="97"/>
      <c r="AA126" s="86"/>
    </row>
    <row r="127" spans="1:29" ht="16.5" hidden="1" thickTop="1" x14ac:dyDescent="0.25">
      <c r="A127" s="183" t="s">
        <v>116</v>
      </c>
      <c r="B127" s="110"/>
      <c r="C127" s="180">
        <v>4020114000</v>
      </c>
      <c r="D127" s="98"/>
      <c r="E127" s="98"/>
      <c r="F127" s="303">
        <f t="shared" si="1"/>
        <v>0</v>
      </c>
      <c r="G127" s="116"/>
      <c r="J127" s="116"/>
      <c r="K127" s="116"/>
      <c r="L127" s="116"/>
      <c r="M127" s="116"/>
      <c r="R127" s="116"/>
      <c r="S127" s="97"/>
      <c r="AA127" s="86"/>
    </row>
    <row r="128" spans="1:29" ht="16.5" hidden="1" thickTop="1" x14ac:dyDescent="0.25">
      <c r="A128" s="183" t="s">
        <v>117</v>
      </c>
      <c r="B128" s="110"/>
      <c r="C128" s="180">
        <v>4020202000</v>
      </c>
      <c r="D128" s="98"/>
      <c r="E128" s="98"/>
      <c r="F128" s="303">
        <f t="shared" si="1"/>
        <v>0</v>
      </c>
      <c r="G128" s="116"/>
      <c r="J128" s="116"/>
      <c r="K128" s="116"/>
      <c r="L128" s="116"/>
      <c r="M128" s="116"/>
      <c r="R128" s="116"/>
      <c r="S128" s="97"/>
      <c r="AA128" s="86"/>
    </row>
    <row r="129" spans="1:27" ht="16.5" hidden="1" thickTop="1" x14ac:dyDescent="0.25">
      <c r="A129" s="183" t="s">
        <v>118</v>
      </c>
      <c r="B129" s="110"/>
      <c r="C129" s="180">
        <v>4020205000</v>
      </c>
      <c r="D129" s="98"/>
      <c r="E129" s="98"/>
      <c r="F129" s="303">
        <f t="shared" si="1"/>
        <v>0</v>
      </c>
      <c r="S129" s="97"/>
      <c r="AA129" s="86"/>
    </row>
    <row r="130" spans="1:27" s="114" customFormat="1" ht="32.25" hidden="1" thickTop="1" x14ac:dyDescent="0.25">
      <c r="A130" s="183" t="s">
        <v>119</v>
      </c>
      <c r="B130" s="110"/>
      <c r="C130" s="180">
        <v>4020213000</v>
      </c>
      <c r="D130" s="98"/>
      <c r="E130" s="98"/>
      <c r="F130" s="303">
        <f t="shared" si="1"/>
        <v>0</v>
      </c>
      <c r="G130" s="85"/>
      <c r="H130" s="86"/>
      <c r="I130" s="86"/>
      <c r="J130" s="85"/>
      <c r="K130" s="85"/>
      <c r="L130" s="85"/>
      <c r="M130" s="85"/>
      <c r="N130" s="86"/>
      <c r="O130" s="86"/>
      <c r="P130" s="86"/>
      <c r="Q130" s="86"/>
      <c r="R130" s="85"/>
      <c r="S130" s="97"/>
      <c r="T130" s="86"/>
      <c r="U130" s="90"/>
      <c r="V130" s="90"/>
      <c r="W130" s="90"/>
      <c r="X130" s="90"/>
      <c r="AA130" s="86"/>
    </row>
    <row r="131" spans="1:27" s="116" customFormat="1" ht="16.5" hidden="1" thickTop="1" x14ac:dyDescent="0.25">
      <c r="A131" s="183" t="s">
        <v>120</v>
      </c>
      <c r="B131" s="110"/>
      <c r="C131" s="180">
        <v>4020221099</v>
      </c>
      <c r="D131" s="98"/>
      <c r="E131" s="98"/>
      <c r="F131" s="303">
        <f t="shared" si="1"/>
        <v>0</v>
      </c>
      <c r="G131" s="85"/>
      <c r="H131" s="86"/>
      <c r="I131" s="86"/>
      <c r="J131" s="85"/>
      <c r="K131" s="85"/>
      <c r="L131" s="85"/>
      <c r="M131" s="85"/>
      <c r="N131" s="86"/>
      <c r="O131" s="86"/>
      <c r="P131" s="86"/>
      <c r="Q131" s="86"/>
      <c r="R131" s="85"/>
      <c r="S131" s="97"/>
      <c r="T131" s="86"/>
      <c r="U131" s="86"/>
      <c r="V131" s="86"/>
      <c r="W131" s="86"/>
      <c r="X131" s="86"/>
      <c r="AA131" s="86"/>
    </row>
    <row r="132" spans="1:27" s="116" customFormat="1" ht="16.5" hidden="1" thickTop="1" x14ac:dyDescent="0.25">
      <c r="A132" s="183" t="s">
        <v>218</v>
      </c>
      <c r="B132" s="110"/>
      <c r="C132" s="180">
        <v>4030101000</v>
      </c>
      <c r="D132" s="98"/>
      <c r="E132" s="98"/>
      <c r="F132" s="303">
        <f t="shared" si="1"/>
        <v>0</v>
      </c>
      <c r="G132" s="85"/>
      <c r="H132" s="86"/>
      <c r="I132" s="86"/>
      <c r="J132" s="85"/>
      <c r="K132" s="85"/>
      <c r="L132" s="85"/>
      <c r="M132" s="85"/>
      <c r="N132" s="86"/>
      <c r="O132" s="86"/>
      <c r="P132" s="86"/>
      <c r="Q132" s="86"/>
      <c r="R132" s="85"/>
      <c r="S132" s="97"/>
      <c r="T132" s="86"/>
      <c r="U132" s="86"/>
      <c r="V132" s="86"/>
      <c r="W132" s="86"/>
      <c r="X132" s="86"/>
      <c r="AA132" s="86"/>
    </row>
    <row r="133" spans="1:27" s="116" customFormat="1" ht="16.5" hidden="1" thickTop="1" x14ac:dyDescent="0.25">
      <c r="A133" s="183" t="s">
        <v>217</v>
      </c>
      <c r="B133" s="110"/>
      <c r="C133" s="180">
        <v>4030102000</v>
      </c>
      <c r="D133" s="98"/>
      <c r="E133" s="98"/>
      <c r="F133" s="303">
        <f t="shared" si="1"/>
        <v>0</v>
      </c>
      <c r="G133" s="85"/>
      <c r="H133" s="86"/>
      <c r="I133" s="86"/>
      <c r="J133" s="85"/>
      <c r="K133" s="85"/>
      <c r="L133" s="85"/>
      <c r="M133" s="85"/>
      <c r="N133" s="86"/>
      <c r="O133" s="86"/>
      <c r="P133" s="86"/>
      <c r="Q133" s="86"/>
      <c r="R133" s="85"/>
      <c r="S133" s="97"/>
      <c r="T133" s="86"/>
      <c r="U133" s="86"/>
      <c r="V133" s="86"/>
      <c r="W133" s="86"/>
      <c r="X133" s="86"/>
      <c r="AA133" s="86"/>
    </row>
    <row r="134" spans="1:27" ht="16.5" hidden="1" thickTop="1" x14ac:dyDescent="0.25">
      <c r="A134" s="183" t="s">
        <v>358</v>
      </c>
      <c r="B134" s="110"/>
      <c r="C134" s="180">
        <v>4030106000</v>
      </c>
      <c r="D134" s="98"/>
      <c r="E134" s="98"/>
      <c r="F134" s="303">
        <f t="shared" si="1"/>
        <v>0</v>
      </c>
      <c r="S134" s="97"/>
      <c r="AA134" s="86"/>
    </row>
    <row r="135" spans="1:27" ht="16.5" hidden="1" thickTop="1" x14ac:dyDescent="0.25">
      <c r="A135" s="183" t="s">
        <v>444</v>
      </c>
      <c r="B135" s="110"/>
      <c r="C135" s="180">
        <v>4030107000</v>
      </c>
      <c r="D135" s="98"/>
      <c r="E135" s="98"/>
      <c r="F135" s="303">
        <f t="shared" si="1"/>
        <v>0</v>
      </c>
      <c r="S135" s="97"/>
      <c r="AA135" s="86"/>
    </row>
    <row r="136" spans="1:27" ht="16.5" hidden="1" thickTop="1" x14ac:dyDescent="0.25">
      <c r="A136" s="183" t="s">
        <v>114</v>
      </c>
      <c r="B136" s="110"/>
      <c r="C136" s="180">
        <v>4040201000</v>
      </c>
      <c r="D136" s="98"/>
      <c r="E136" s="98"/>
      <c r="F136" s="303">
        <f t="shared" si="1"/>
        <v>0</v>
      </c>
      <c r="S136" s="97"/>
      <c r="AA136" s="86"/>
    </row>
    <row r="137" spans="1:27" ht="16.5" hidden="1" thickTop="1" x14ac:dyDescent="0.25">
      <c r="A137" s="183" t="s">
        <v>115</v>
      </c>
      <c r="B137" s="110"/>
      <c r="C137" s="180">
        <v>4040202000</v>
      </c>
      <c r="D137" s="98"/>
      <c r="E137" s="98"/>
      <c r="F137" s="303">
        <f t="shared" si="1"/>
        <v>0</v>
      </c>
      <c r="G137" s="114"/>
      <c r="H137" s="90"/>
      <c r="I137" s="90"/>
      <c r="J137" s="114"/>
      <c r="K137" s="114"/>
      <c r="L137" s="114"/>
      <c r="M137" s="114"/>
      <c r="N137" s="90"/>
      <c r="O137" s="90"/>
      <c r="P137" s="90"/>
      <c r="Q137" s="90"/>
      <c r="R137" s="114"/>
      <c r="S137" s="97"/>
      <c r="T137" s="90"/>
      <c r="AA137" s="86"/>
    </row>
    <row r="138" spans="1:27" ht="16.5" hidden="1" thickTop="1" x14ac:dyDescent="0.25">
      <c r="A138" s="183" t="s">
        <v>121</v>
      </c>
      <c r="B138" s="110"/>
      <c r="C138" s="180">
        <v>4050199000</v>
      </c>
      <c r="D138" s="98"/>
      <c r="E138" s="98"/>
      <c r="F138" s="303">
        <f t="shared" si="1"/>
        <v>0</v>
      </c>
      <c r="S138" s="97"/>
      <c r="AA138" s="86"/>
    </row>
    <row r="139" spans="1:27" ht="16.5" hidden="1" thickTop="1" x14ac:dyDescent="0.25">
      <c r="A139" s="183" t="s">
        <v>378</v>
      </c>
      <c r="B139" s="110"/>
      <c r="C139" s="180">
        <v>4069999000</v>
      </c>
      <c r="D139" s="98"/>
      <c r="E139" s="98"/>
      <c r="F139" s="303">
        <f t="shared" si="1"/>
        <v>0</v>
      </c>
      <c r="S139" s="97"/>
      <c r="AA139" s="86"/>
    </row>
    <row r="140" spans="1:27" ht="16.5" hidden="1" thickTop="1" x14ac:dyDescent="0.25">
      <c r="A140" s="183" t="s">
        <v>215</v>
      </c>
      <c r="B140" s="110"/>
      <c r="C140" s="180">
        <v>5010101001</v>
      </c>
      <c r="D140" s="98"/>
      <c r="E140" s="98"/>
      <c r="F140" s="303">
        <f t="shared" ref="F140:F203" si="3">D140+E140</f>
        <v>0</v>
      </c>
      <c r="S140" s="97"/>
      <c r="AA140" s="86"/>
    </row>
    <row r="141" spans="1:27" ht="16.5" hidden="1" thickTop="1" x14ac:dyDescent="0.25">
      <c r="A141" s="183" t="s">
        <v>402</v>
      </c>
      <c r="B141" s="110"/>
      <c r="C141" s="180">
        <v>5010102000</v>
      </c>
      <c r="D141" s="98"/>
      <c r="E141" s="98"/>
      <c r="F141" s="303">
        <f t="shared" si="3"/>
        <v>0</v>
      </c>
      <c r="S141" s="97"/>
      <c r="AA141" s="86"/>
    </row>
    <row r="142" spans="1:27" ht="16.5" hidden="1" thickTop="1" x14ac:dyDescent="0.25">
      <c r="A142" s="183" t="s">
        <v>124</v>
      </c>
      <c r="B142" s="110"/>
      <c r="C142" s="180">
        <v>5010201001</v>
      </c>
      <c r="D142" s="98"/>
      <c r="E142" s="98"/>
      <c r="F142" s="303">
        <f t="shared" si="3"/>
        <v>0</v>
      </c>
      <c r="S142" s="97"/>
      <c r="AA142" s="86"/>
    </row>
    <row r="143" spans="1:27" ht="16.5" hidden="1" thickTop="1" x14ac:dyDescent="0.25">
      <c r="A143" s="183" t="s">
        <v>38</v>
      </c>
      <c r="B143" s="110"/>
      <c r="C143" s="180">
        <v>5010202000</v>
      </c>
      <c r="D143" s="98"/>
      <c r="E143" s="98"/>
      <c r="F143" s="303">
        <f t="shared" si="3"/>
        <v>0</v>
      </c>
      <c r="S143" s="97"/>
      <c r="AA143" s="86"/>
    </row>
    <row r="144" spans="1:27" ht="16.5" hidden="1" thickTop="1" x14ac:dyDescent="0.25">
      <c r="A144" s="183" t="s">
        <v>39</v>
      </c>
      <c r="B144" s="110"/>
      <c r="C144" s="180">
        <v>5010203001</v>
      </c>
      <c r="D144" s="98"/>
      <c r="E144" s="98"/>
      <c r="F144" s="303">
        <f t="shared" si="3"/>
        <v>0</v>
      </c>
      <c r="S144" s="97"/>
      <c r="AA144" s="86"/>
    </row>
    <row r="145" spans="1:27" ht="16.5" hidden="1" thickTop="1" x14ac:dyDescent="0.25">
      <c r="A145" s="183" t="s">
        <v>40</v>
      </c>
      <c r="B145" s="110"/>
      <c r="C145" s="180">
        <v>5010204001</v>
      </c>
      <c r="D145" s="98"/>
      <c r="E145" s="98"/>
      <c r="F145" s="303">
        <f t="shared" si="3"/>
        <v>0</v>
      </c>
      <c r="S145" s="97"/>
      <c r="AA145" s="86"/>
    </row>
    <row r="146" spans="1:27" ht="32.25" hidden="1" thickTop="1" x14ac:dyDescent="0.25">
      <c r="A146" s="183" t="s">
        <v>128</v>
      </c>
      <c r="B146" s="110"/>
      <c r="C146" s="180">
        <v>5010205003</v>
      </c>
      <c r="D146" s="98"/>
      <c r="E146" s="98"/>
      <c r="F146" s="303">
        <f t="shared" si="3"/>
        <v>0</v>
      </c>
      <c r="S146" s="97"/>
      <c r="AA146" s="86"/>
    </row>
    <row r="147" spans="1:27" ht="32.25" hidden="1" thickTop="1" x14ac:dyDescent="0.25">
      <c r="A147" s="183" t="s">
        <v>129</v>
      </c>
      <c r="B147" s="110"/>
      <c r="C147" s="180">
        <v>5010205004</v>
      </c>
      <c r="D147" s="98"/>
      <c r="E147" s="98"/>
      <c r="F147" s="303">
        <f t="shared" si="3"/>
        <v>0</v>
      </c>
      <c r="S147" s="97"/>
      <c r="AA147" s="86"/>
    </row>
    <row r="148" spans="1:27" ht="32.25" hidden="1" thickTop="1" x14ac:dyDescent="0.25">
      <c r="A148" s="183" t="s">
        <v>371</v>
      </c>
      <c r="B148" s="110"/>
      <c r="C148" s="180">
        <v>5010206003</v>
      </c>
      <c r="D148" s="98"/>
      <c r="E148" s="98"/>
      <c r="F148" s="303">
        <f t="shared" si="3"/>
        <v>0</v>
      </c>
      <c r="S148" s="97"/>
      <c r="AA148" s="86"/>
    </row>
    <row r="149" spans="1:27" ht="32.25" hidden="1" thickTop="1" x14ac:dyDescent="0.25">
      <c r="A149" s="183" t="s">
        <v>130</v>
      </c>
      <c r="B149" s="110"/>
      <c r="C149" s="180">
        <v>5010206004</v>
      </c>
      <c r="D149" s="98"/>
      <c r="E149" s="98"/>
      <c r="F149" s="303">
        <f t="shared" si="3"/>
        <v>0</v>
      </c>
      <c r="S149" s="97"/>
      <c r="AA149" s="86"/>
    </row>
    <row r="150" spans="1:27" ht="32.25" hidden="1" thickTop="1" x14ac:dyDescent="0.25">
      <c r="A150" s="183" t="s">
        <v>131</v>
      </c>
      <c r="B150" s="110"/>
      <c r="C150" s="180">
        <v>5010207004</v>
      </c>
      <c r="D150" s="98"/>
      <c r="E150" s="98"/>
      <c r="F150" s="303">
        <f t="shared" si="3"/>
        <v>0</v>
      </c>
      <c r="S150" s="97"/>
      <c r="AA150" s="86"/>
    </row>
    <row r="151" spans="1:27" ht="16.5" hidden="1" thickTop="1" x14ac:dyDescent="0.25">
      <c r="A151" s="183" t="s">
        <v>132</v>
      </c>
      <c r="B151" s="110"/>
      <c r="C151" s="180">
        <v>5010208001</v>
      </c>
      <c r="D151" s="98"/>
      <c r="E151" s="98"/>
      <c r="F151" s="303">
        <f t="shared" si="3"/>
        <v>0</v>
      </c>
      <c r="S151" s="97"/>
      <c r="AA151" s="86"/>
    </row>
    <row r="152" spans="1:27" ht="16.5" hidden="1" thickTop="1" x14ac:dyDescent="0.25">
      <c r="A152" s="183" t="s">
        <v>125</v>
      </c>
      <c r="B152" s="110"/>
      <c r="C152" s="180">
        <v>5010210001</v>
      </c>
      <c r="D152" s="98"/>
      <c r="E152" s="98"/>
      <c r="F152" s="303">
        <f t="shared" si="3"/>
        <v>0</v>
      </c>
      <c r="S152" s="97"/>
      <c r="AA152" s="86"/>
    </row>
    <row r="153" spans="1:27" ht="16.5" hidden="1" thickTop="1" x14ac:dyDescent="0.25">
      <c r="A153" s="183" t="s">
        <v>126</v>
      </c>
      <c r="B153" s="110"/>
      <c r="C153" s="180">
        <v>5010211002</v>
      </c>
      <c r="D153" s="98"/>
      <c r="E153" s="98"/>
      <c r="F153" s="303">
        <f t="shared" si="3"/>
        <v>0</v>
      </c>
      <c r="S153" s="97"/>
      <c r="AA153" s="86"/>
    </row>
    <row r="154" spans="1:27" ht="32.25" hidden="1" thickTop="1" x14ac:dyDescent="0.25">
      <c r="A154" s="183" t="s">
        <v>384</v>
      </c>
      <c r="B154" s="110"/>
      <c r="C154" s="301">
        <v>5010211006</v>
      </c>
      <c r="D154" s="98"/>
      <c r="E154" s="98"/>
      <c r="F154" s="303">
        <f t="shared" si="3"/>
        <v>0</v>
      </c>
      <c r="S154" s="97"/>
      <c r="AA154" s="86"/>
    </row>
    <row r="155" spans="1:27" ht="16.5" hidden="1" thickTop="1" x14ac:dyDescent="0.25">
      <c r="A155" s="183" t="s">
        <v>127</v>
      </c>
      <c r="B155" s="110"/>
      <c r="C155" s="180">
        <v>5010212001</v>
      </c>
      <c r="D155" s="98"/>
      <c r="E155" s="98"/>
      <c r="F155" s="303">
        <f t="shared" si="3"/>
        <v>0</v>
      </c>
      <c r="S155" s="97"/>
      <c r="AA155" s="86"/>
    </row>
    <row r="156" spans="1:27" ht="16.5" hidden="1" thickTop="1" x14ac:dyDescent="0.25">
      <c r="A156" s="183" t="s">
        <v>214</v>
      </c>
      <c r="B156" s="110"/>
      <c r="C156" s="180">
        <v>5010213001</v>
      </c>
      <c r="D156" s="98"/>
      <c r="E156" s="98"/>
      <c r="F156" s="303">
        <f t="shared" si="3"/>
        <v>0</v>
      </c>
      <c r="S156" s="97"/>
      <c r="AA156" s="86"/>
    </row>
    <row r="157" spans="1:27" ht="16.5" hidden="1" thickTop="1" x14ac:dyDescent="0.25">
      <c r="A157" s="183" t="s">
        <v>368</v>
      </c>
      <c r="B157" s="110"/>
      <c r="C157" s="180">
        <v>5010213002</v>
      </c>
      <c r="D157" s="98"/>
      <c r="E157" s="98"/>
      <c r="F157" s="303">
        <f t="shared" si="3"/>
        <v>0</v>
      </c>
      <c r="S157" s="97"/>
      <c r="AA157" s="86"/>
    </row>
    <row r="158" spans="1:27" ht="16.5" hidden="1" thickTop="1" x14ac:dyDescent="0.25">
      <c r="A158" s="183" t="s">
        <v>96</v>
      </c>
      <c r="B158" s="110"/>
      <c r="C158" s="180">
        <v>5010214001</v>
      </c>
      <c r="D158" s="98"/>
      <c r="E158" s="98"/>
      <c r="F158" s="303">
        <f t="shared" si="3"/>
        <v>0</v>
      </c>
      <c r="S158" s="97"/>
      <c r="AA158" s="86"/>
    </row>
    <row r="159" spans="1:27" ht="16.5" hidden="1" thickTop="1" x14ac:dyDescent="0.25">
      <c r="A159" s="183" t="s">
        <v>41</v>
      </c>
      <c r="B159" s="110"/>
      <c r="C159" s="180">
        <v>5010215001</v>
      </c>
      <c r="D159" s="98"/>
      <c r="E159" s="98"/>
      <c r="F159" s="303">
        <f t="shared" si="3"/>
        <v>0</v>
      </c>
      <c r="S159" s="97"/>
      <c r="AA159" s="86"/>
    </row>
    <row r="160" spans="1:27" ht="16.5" hidden="1" thickTop="1" x14ac:dyDescent="0.25">
      <c r="A160" s="183" t="s">
        <v>133</v>
      </c>
      <c r="B160" s="110"/>
      <c r="C160" s="180">
        <v>5010299011</v>
      </c>
      <c r="D160" s="98"/>
      <c r="E160" s="98"/>
      <c r="F160" s="303">
        <f t="shared" si="3"/>
        <v>0</v>
      </c>
      <c r="S160" s="97"/>
      <c r="AA160" s="86"/>
    </row>
    <row r="161" spans="1:27" ht="16.5" hidden="1" thickTop="1" x14ac:dyDescent="0.25">
      <c r="A161" s="183" t="s">
        <v>134</v>
      </c>
      <c r="B161" s="110"/>
      <c r="C161" s="180">
        <v>5010299012</v>
      </c>
      <c r="D161" s="98"/>
      <c r="E161" s="98"/>
      <c r="F161" s="303">
        <f t="shared" si="3"/>
        <v>0</v>
      </c>
      <c r="S161" s="97"/>
      <c r="AA161" s="86"/>
    </row>
    <row r="162" spans="1:27" ht="16.5" hidden="1" thickTop="1" x14ac:dyDescent="0.25">
      <c r="A162" s="183" t="s">
        <v>135</v>
      </c>
      <c r="B162" s="110"/>
      <c r="C162" s="180">
        <v>5010299014</v>
      </c>
      <c r="D162" s="98"/>
      <c r="E162" s="98"/>
      <c r="F162" s="303">
        <f t="shared" si="3"/>
        <v>0</v>
      </c>
      <c r="S162" s="97"/>
      <c r="AA162" s="86"/>
    </row>
    <row r="163" spans="1:27" ht="16.5" hidden="1" thickTop="1" x14ac:dyDescent="0.25">
      <c r="A163" s="183" t="s">
        <v>403</v>
      </c>
      <c r="B163" s="110"/>
      <c r="C163" s="180">
        <v>5010216001</v>
      </c>
      <c r="D163" s="98"/>
      <c r="E163" s="98"/>
      <c r="F163" s="303">
        <f t="shared" si="3"/>
        <v>0</v>
      </c>
      <c r="S163" s="97"/>
      <c r="AA163" s="86"/>
    </row>
    <row r="164" spans="1:27" ht="16.5" hidden="1" thickTop="1" x14ac:dyDescent="0.25">
      <c r="A164" s="183" t="s">
        <v>404</v>
      </c>
      <c r="B164" s="110"/>
      <c r="C164" s="180">
        <v>5010299038</v>
      </c>
      <c r="D164" s="98"/>
      <c r="E164" s="98"/>
      <c r="F164" s="303">
        <f t="shared" si="3"/>
        <v>0</v>
      </c>
      <c r="S164" s="97"/>
      <c r="AA164" s="86"/>
    </row>
    <row r="165" spans="1:27" ht="16.5" hidden="1" thickTop="1" x14ac:dyDescent="0.25">
      <c r="A165" s="183" t="s">
        <v>212</v>
      </c>
      <c r="B165" s="110"/>
      <c r="C165" s="180">
        <v>5010301000</v>
      </c>
      <c r="D165" s="98"/>
      <c r="E165" s="98"/>
      <c r="F165" s="303">
        <f t="shared" si="3"/>
        <v>0</v>
      </c>
      <c r="S165" s="97"/>
      <c r="AA165" s="86"/>
    </row>
    <row r="166" spans="1:27" ht="16.5" hidden="1" thickTop="1" x14ac:dyDescent="0.25">
      <c r="A166" s="183" t="s">
        <v>138</v>
      </c>
      <c r="B166" s="110"/>
      <c r="C166" s="180">
        <v>5010302001</v>
      </c>
      <c r="D166" s="98"/>
      <c r="E166" s="98"/>
      <c r="F166" s="303">
        <f t="shared" si="3"/>
        <v>0</v>
      </c>
      <c r="S166" s="97"/>
      <c r="AA166" s="86"/>
    </row>
    <row r="167" spans="1:27" ht="16.5" hidden="1" thickTop="1" x14ac:dyDescent="0.25">
      <c r="A167" s="183" t="s">
        <v>139</v>
      </c>
      <c r="B167" s="110"/>
      <c r="C167" s="180">
        <v>5010303001</v>
      </c>
      <c r="D167" s="98"/>
      <c r="E167" s="98"/>
      <c r="F167" s="303">
        <f t="shared" si="3"/>
        <v>0</v>
      </c>
      <c r="S167" s="97"/>
      <c r="AA167" s="86"/>
    </row>
    <row r="168" spans="1:27" ht="32.25" hidden="1" thickTop="1" x14ac:dyDescent="0.25">
      <c r="A168" s="183" t="s">
        <v>140</v>
      </c>
      <c r="B168" s="110"/>
      <c r="C168" s="180">
        <v>5010304001</v>
      </c>
      <c r="D168" s="98"/>
      <c r="E168" s="98"/>
      <c r="F168" s="303">
        <f t="shared" si="3"/>
        <v>0</v>
      </c>
      <c r="S168" s="97"/>
      <c r="AA168" s="86"/>
    </row>
    <row r="169" spans="1:27" ht="16.5" hidden="1" thickTop="1" x14ac:dyDescent="0.25">
      <c r="A169" s="183" t="s">
        <v>141</v>
      </c>
      <c r="B169" s="110"/>
      <c r="C169" s="180">
        <v>5010401001</v>
      </c>
      <c r="D169" s="98"/>
      <c r="E169" s="98"/>
      <c r="F169" s="303">
        <f t="shared" si="3"/>
        <v>0</v>
      </c>
      <c r="S169" s="97"/>
      <c r="AA169" s="86"/>
    </row>
    <row r="170" spans="1:27" ht="16.5" hidden="1" thickTop="1" x14ac:dyDescent="0.25">
      <c r="A170" s="183" t="s">
        <v>142</v>
      </c>
      <c r="B170" s="110"/>
      <c r="C170" s="180">
        <v>5010402001</v>
      </c>
      <c r="D170" s="98"/>
      <c r="E170" s="98"/>
      <c r="F170" s="303">
        <f t="shared" si="3"/>
        <v>0</v>
      </c>
      <c r="S170" s="97"/>
      <c r="AA170" s="86"/>
    </row>
    <row r="171" spans="1:27" ht="16.5" hidden="1" thickTop="1" x14ac:dyDescent="0.25">
      <c r="A171" s="183" t="s">
        <v>143</v>
      </c>
      <c r="B171" s="110"/>
      <c r="C171" s="180">
        <v>5010403001</v>
      </c>
      <c r="D171" s="98"/>
      <c r="E171" s="98"/>
      <c r="F171" s="303">
        <f t="shared" si="3"/>
        <v>0</v>
      </c>
      <c r="S171" s="97"/>
      <c r="AA171" s="86"/>
    </row>
    <row r="172" spans="1:27" ht="16.5" hidden="1" thickTop="1" x14ac:dyDescent="0.25">
      <c r="A172" s="183" t="s">
        <v>379</v>
      </c>
      <c r="B172" s="110"/>
      <c r="C172" s="180">
        <v>5010499010</v>
      </c>
      <c r="D172" s="98"/>
      <c r="E172" s="98"/>
      <c r="F172" s="303">
        <f t="shared" si="3"/>
        <v>0</v>
      </c>
      <c r="S172" s="97"/>
      <c r="AA172" s="86"/>
    </row>
    <row r="173" spans="1:27" ht="32.25" hidden="1" thickTop="1" x14ac:dyDescent="0.25">
      <c r="A173" s="183" t="s">
        <v>467</v>
      </c>
      <c r="B173" s="110"/>
      <c r="C173" s="180">
        <v>5010499011</v>
      </c>
      <c r="D173" s="98"/>
      <c r="E173" s="98"/>
      <c r="F173" s="303">
        <f t="shared" si="3"/>
        <v>0</v>
      </c>
      <c r="S173" s="97"/>
      <c r="AA173" s="86"/>
    </row>
    <row r="174" spans="1:27" ht="16.5" hidden="1" thickTop="1" x14ac:dyDescent="0.25">
      <c r="A174" s="183" t="s">
        <v>382</v>
      </c>
      <c r="B174" s="110"/>
      <c r="C174" s="180">
        <v>5010499015</v>
      </c>
      <c r="D174" s="98"/>
      <c r="E174" s="98"/>
      <c r="F174" s="303">
        <f t="shared" si="3"/>
        <v>0</v>
      </c>
      <c r="S174" s="97"/>
      <c r="AA174" s="86"/>
    </row>
    <row r="175" spans="1:27" ht="16.5" hidden="1" thickTop="1" x14ac:dyDescent="0.25">
      <c r="A175" s="183" t="s">
        <v>405</v>
      </c>
      <c r="B175" s="110"/>
      <c r="C175" s="180">
        <v>5010499099</v>
      </c>
      <c r="D175" s="98"/>
      <c r="E175" s="98"/>
      <c r="F175" s="303">
        <f t="shared" si="3"/>
        <v>0</v>
      </c>
      <c r="S175" s="97"/>
      <c r="AA175" s="86"/>
    </row>
    <row r="176" spans="1:27" ht="16.5" hidden="1" thickTop="1" x14ac:dyDescent="0.25">
      <c r="A176" s="183" t="s">
        <v>42</v>
      </c>
      <c r="B176" s="110"/>
      <c r="C176" s="180">
        <v>5020101000</v>
      </c>
      <c r="D176" s="98"/>
      <c r="E176" s="98"/>
      <c r="F176" s="303">
        <f t="shared" si="3"/>
        <v>0</v>
      </c>
      <c r="S176" s="97"/>
      <c r="AA176" s="86"/>
    </row>
    <row r="177" spans="1:27" ht="16.5" hidden="1" thickTop="1" x14ac:dyDescent="0.25">
      <c r="A177" s="183" t="s">
        <v>43</v>
      </c>
      <c r="B177" s="110"/>
      <c r="C177" s="301">
        <v>5020201002</v>
      </c>
      <c r="D177" s="98"/>
      <c r="E177" s="98"/>
      <c r="F177" s="303">
        <f t="shared" si="3"/>
        <v>0</v>
      </c>
      <c r="S177" s="97"/>
      <c r="AA177" s="86"/>
    </row>
    <row r="178" spans="1:27" ht="16.5" hidden="1" thickTop="1" x14ac:dyDescent="0.25">
      <c r="A178" s="183" t="s">
        <v>44</v>
      </c>
      <c r="B178" s="110"/>
      <c r="C178" s="180">
        <v>5020202000</v>
      </c>
      <c r="D178" s="98"/>
      <c r="E178" s="98"/>
      <c r="F178" s="303">
        <f t="shared" si="3"/>
        <v>0</v>
      </c>
      <c r="S178" s="97"/>
      <c r="AA178" s="86"/>
    </row>
    <row r="179" spans="1:27" ht="16.5" hidden="1" thickTop="1" x14ac:dyDescent="0.25">
      <c r="A179" s="298" t="s">
        <v>413</v>
      </c>
      <c r="B179" s="110"/>
      <c r="C179" s="180">
        <v>5020301001</v>
      </c>
      <c r="D179" s="98"/>
      <c r="E179" s="98"/>
      <c r="F179" s="303">
        <f t="shared" si="3"/>
        <v>0</v>
      </c>
      <c r="S179" s="97"/>
      <c r="AA179" s="86"/>
    </row>
    <row r="180" spans="1:27" ht="16.5" hidden="1" thickTop="1" x14ac:dyDescent="0.25">
      <c r="A180" s="183" t="s">
        <v>45</v>
      </c>
      <c r="B180" s="110"/>
      <c r="C180" s="180">
        <v>5020301002</v>
      </c>
      <c r="D180" s="98"/>
      <c r="E180" s="98"/>
      <c r="F180" s="303">
        <f t="shared" si="3"/>
        <v>0</v>
      </c>
      <c r="S180" s="97"/>
      <c r="AA180" s="86"/>
    </row>
    <row r="181" spans="1:27" ht="16.5" hidden="1" thickTop="1" x14ac:dyDescent="0.25">
      <c r="A181" s="183" t="s">
        <v>46</v>
      </c>
      <c r="B181" s="110"/>
      <c r="C181" s="180">
        <v>5020302000</v>
      </c>
      <c r="D181" s="98"/>
      <c r="E181" s="98"/>
      <c r="F181" s="303">
        <f t="shared" si="3"/>
        <v>0</v>
      </c>
      <c r="S181" s="97"/>
      <c r="AA181" s="86"/>
    </row>
    <row r="182" spans="1:27" ht="16.5" hidden="1" thickTop="1" x14ac:dyDescent="0.25">
      <c r="A182" s="183" t="s">
        <v>47</v>
      </c>
      <c r="B182" s="110"/>
      <c r="C182" s="180">
        <v>5020305000</v>
      </c>
      <c r="D182" s="98"/>
      <c r="E182" s="98"/>
      <c r="F182" s="303">
        <f t="shared" si="3"/>
        <v>0</v>
      </c>
      <c r="S182" s="97"/>
      <c r="AA182" s="86"/>
    </row>
    <row r="183" spans="1:27" ht="16.5" hidden="1" thickTop="1" x14ac:dyDescent="0.25">
      <c r="A183" s="183" t="s">
        <v>144</v>
      </c>
      <c r="B183" s="110"/>
      <c r="C183" s="180">
        <v>5020306000</v>
      </c>
      <c r="D183" s="98"/>
      <c r="E183" s="98"/>
      <c r="F183" s="303">
        <f t="shared" si="3"/>
        <v>0</v>
      </c>
      <c r="S183" s="97"/>
      <c r="AA183" s="86"/>
    </row>
    <row r="184" spans="1:27" ht="16.5" hidden="1" thickTop="1" x14ac:dyDescent="0.25">
      <c r="A184" s="183" t="s">
        <v>48</v>
      </c>
      <c r="B184" s="110"/>
      <c r="C184" s="180">
        <v>5020307000</v>
      </c>
      <c r="D184" s="98"/>
      <c r="E184" s="98"/>
      <c r="F184" s="303">
        <f t="shared" si="3"/>
        <v>0</v>
      </c>
      <c r="S184" s="97"/>
      <c r="AA184" s="86"/>
    </row>
    <row r="185" spans="1:27" ht="16.5" hidden="1" thickTop="1" x14ac:dyDescent="0.25">
      <c r="A185" s="183" t="s">
        <v>49</v>
      </c>
      <c r="B185" s="110"/>
      <c r="C185" s="180">
        <v>5020308000</v>
      </c>
      <c r="D185" s="98"/>
      <c r="E185" s="98"/>
      <c r="F185" s="303">
        <f t="shared" si="3"/>
        <v>0</v>
      </c>
      <c r="S185" s="97"/>
      <c r="AA185" s="86"/>
    </row>
    <row r="186" spans="1:27" ht="16.5" hidden="1" thickTop="1" x14ac:dyDescent="0.25">
      <c r="A186" s="183" t="s">
        <v>145</v>
      </c>
      <c r="B186" s="110"/>
      <c r="C186" s="180">
        <v>5020309000</v>
      </c>
      <c r="D186" s="98"/>
      <c r="E186" s="98"/>
      <c r="F186" s="303">
        <f t="shared" si="3"/>
        <v>0</v>
      </c>
      <c r="S186" s="97"/>
      <c r="AA186" s="86"/>
    </row>
    <row r="187" spans="1:27" ht="32.25" hidden="1" thickTop="1" x14ac:dyDescent="0.25">
      <c r="A187" s="183" t="s">
        <v>380</v>
      </c>
      <c r="B187" s="110"/>
      <c r="C187" s="180">
        <v>5020321001</v>
      </c>
      <c r="D187" s="98"/>
      <c r="E187" s="98"/>
      <c r="F187" s="303">
        <f t="shared" si="3"/>
        <v>0</v>
      </c>
      <c r="S187" s="97"/>
      <c r="AA187" s="86"/>
    </row>
    <row r="188" spans="1:27" ht="32.25" hidden="1" thickTop="1" x14ac:dyDescent="0.25">
      <c r="A188" s="183" t="s">
        <v>373</v>
      </c>
      <c r="B188" s="110"/>
      <c r="C188" s="180">
        <v>5020321002</v>
      </c>
      <c r="D188" s="98"/>
      <c r="E188" s="98"/>
      <c r="F188" s="303">
        <f t="shared" si="3"/>
        <v>0</v>
      </c>
      <c r="S188" s="97"/>
      <c r="AA188" s="86"/>
    </row>
    <row r="189" spans="1:27" ht="32.25" hidden="1" thickTop="1" x14ac:dyDescent="0.25">
      <c r="A189" s="183" t="s">
        <v>374</v>
      </c>
      <c r="B189" s="110"/>
      <c r="C189" s="180">
        <v>5020321007</v>
      </c>
      <c r="D189" s="98"/>
      <c r="E189" s="98"/>
      <c r="F189" s="303">
        <f t="shared" si="3"/>
        <v>0</v>
      </c>
      <c r="S189" s="97"/>
      <c r="AA189" s="86"/>
    </row>
    <row r="190" spans="1:27" ht="16.5" hidden="1" thickTop="1" x14ac:dyDescent="0.25">
      <c r="A190" s="183" t="s">
        <v>372</v>
      </c>
      <c r="B190" s="110"/>
      <c r="C190" s="180">
        <v>5020321003</v>
      </c>
      <c r="D190" s="98"/>
      <c r="E190" s="98"/>
      <c r="F190" s="303">
        <f t="shared" si="3"/>
        <v>0</v>
      </c>
      <c r="S190" s="97"/>
      <c r="AA190" s="86"/>
    </row>
    <row r="191" spans="1:27" ht="32.25" hidden="1" thickTop="1" x14ac:dyDescent="0.25">
      <c r="A191" s="183" t="s">
        <v>376</v>
      </c>
      <c r="B191" s="110"/>
      <c r="C191" s="180">
        <v>5020321010</v>
      </c>
      <c r="D191" s="98"/>
      <c r="E191" s="98"/>
      <c r="F191" s="303">
        <f t="shared" si="3"/>
        <v>0</v>
      </c>
      <c r="S191" s="97"/>
      <c r="AA191" s="86"/>
    </row>
    <row r="192" spans="1:27" ht="32.25" hidden="1" thickTop="1" x14ac:dyDescent="0.25">
      <c r="A192" s="183" t="s">
        <v>503</v>
      </c>
      <c r="B192" s="110"/>
      <c r="C192" s="180">
        <v>5020321012</v>
      </c>
      <c r="D192" s="98"/>
      <c r="E192" s="98"/>
      <c r="F192" s="303">
        <f t="shared" si="3"/>
        <v>0</v>
      </c>
      <c r="S192" s="97"/>
      <c r="AA192" s="86"/>
    </row>
    <row r="193" spans="1:27" ht="16.5" hidden="1" thickTop="1" x14ac:dyDescent="0.25">
      <c r="A193" s="183" t="s">
        <v>501</v>
      </c>
      <c r="B193" s="110">
        <v>5020321013</v>
      </c>
      <c r="C193" s="180">
        <v>5020321013</v>
      </c>
      <c r="D193" s="98"/>
      <c r="E193" s="98"/>
      <c r="F193" s="303">
        <f t="shared" si="3"/>
        <v>0</v>
      </c>
      <c r="S193" s="97"/>
      <c r="AA193" s="86"/>
    </row>
    <row r="194" spans="1:27" ht="32.25" hidden="1" thickTop="1" x14ac:dyDescent="0.25">
      <c r="A194" s="183" t="s">
        <v>369</v>
      </c>
      <c r="B194" s="110"/>
      <c r="C194" s="180">
        <v>5020321099</v>
      </c>
      <c r="D194" s="98"/>
      <c r="E194" s="98"/>
      <c r="F194" s="303">
        <f t="shared" si="3"/>
        <v>0</v>
      </c>
      <c r="S194" s="97"/>
      <c r="AA194" s="86"/>
    </row>
    <row r="195" spans="1:27" ht="16.5" hidden="1" thickTop="1" x14ac:dyDescent="0.25">
      <c r="A195" s="183" t="s">
        <v>375</v>
      </c>
      <c r="B195" s="110"/>
      <c r="C195" s="180">
        <v>5020322001</v>
      </c>
      <c r="D195" s="98"/>
      <c r="E195" s="98"/>
      <c r="F195" s="303">
        <f t="shared" si="3"/>
        <v>0</v>
      </c>
      <c r="S195" s="97"/>
      <c r="AA195" s="86"/>
    </row>
    <row r="196" spans="1:27" ht="16.5" hidden="1" thickTop="1" x14ac:dyDescent="0.25">
      <c r="A196" s="183" t="s">
        <v>211</v>
      </c>
      <c r="B196" s="110"/>
      <c r="C196" s="180">
        <v>5020399000</v>
      </c>
      <c r="D196" s="98"/>
      <c r="E196" s="98"/>
      <c r="F196" s="303">
        <f t="shared" si="3"/>
        <v>0</v>
      </c>
      <c r="S196" s="97"/>
      <c r="AA196" s="86"/>
    </row>
    <row r="197" spans="1:27" ht="16.5" hidden="1" thickTop="1" x14ac:dyDescent="0.25">
      <c r="A197" s="183" t="s">
        <v>51</v>
      </c>
      <c r="B197" s="110"/>
      <c r="C197" s="180">
        <v>5020401000</v>
      </c>
      <c r="D197" s="98"/>
      <c r="E197" s="98"/>
      <c r="F197" s="303">
        <f t="shared" si="3"/>
        <v>0</v>
      </c>
      <c r="S197" s="97"/>
      <c r="AA197" s="86"/>
    </row>
    <row r="198" spans="1:27" ht="16.5" hidden="1" thickTop="1" x14ac:dyDescent="0.25">
      <c r="A198" s="183" t="s">
        <v>52</v>
      </c>
      <c r="B198" s="110"/>
      <c r="C198" s="180">
        <v>5020402000</v>
      </c>
      <c r="D198" s="98"/>
      <c r="E198" s="98"/>
      <c r="F198" s="303">
        <f t="shared" si="3"/>
        <v>0</v>
      </c>
      <c r="S198" s="97"/>
      <c r="AA198" s="86"/>
    </row>
    <row r="199" spans="1:27" ht="16.5" hidden="1" thickTop="1" x14ac:dyDescent="0.25">
      <c r="A199" s="183" t="s">
        <v>406</v>
      </c>
      <c r="B199" s="110"/>
      <c r="C199" s="180">
        <v>5020501000</v>
      </c>
      <c r="D199" s="98"/>
      <c r="E199" s="98"/>
      <c r="F199" s="303">
        <f t="shared" si="3"/>
        <v>0</v>
      </c>
      <c r="S199" s="97"/>
      <c r="AA199" s="86"/>
    </row>
    <row r="200" spans="1:27" ht="16.5" hidden="1" thickTop="1" x14ac:dyDescent="0.25">
      <c r="A200" s="183" t="s">
        <v>55</v>
      </c>
      <c r="B200" s="110"/>
      <c r="C200" s="180">
        <v>5020502001</v>
      </c>
      <c r="D200" s="98"/>
      <c r="E200" s="98"/>
      <c r="F200" s="303">
        <f t="shared" si="3"/>
        <v>0</v>
      </c>
      <c r="S200" s="97"/>
      <c r="AA200" s="86"/>
    </row>
    <row r="201" spans="1:27" ht="16.5" hidden="1" thickTop="1" x14ac:dyDescent="0.25">
      <c r="A201" s="183" t="s">
        <v>54</v>
      </c>
      <c r="B201" s="110"/>
      <c r="C201" s="180">
        <v>5020502002</v>
      </c>
      <c r="D201" s="98"/>
      <c r="E201" s="98"/>
      <c r="F201" s="303">
        <f t="shared" si="3"/>
        <v>0</v>
      </c>
      <c r="S201" s="97"/>
      <c r="AA201" s="86"/>
    </row>
    <row r="202" spans="1:27" ht="16.5" hidden="1" thickTop="1" x14ac:dyDescent="0.25">
      <c r="A202" s="183" t="s">
        <v>146</v>
      </c>
      <c r="B202" s="110"/>
      <c r="C202" s="180">
        <v>5020503000</v>
      </c>
      <c r="D202" s="98"/>
      <c r="E202" s="98"/>
      <c r="F202" s="303">
        <f t="shared" si="3"/>
        <v>0</v>
      </c>
      <c r="S202" s="97"/>
      <c r="AA202" s="86"/>
    </row>
    <row r="203" spans="1:27" ht="16.5" hidden="1" thickTop="1" x14ac:dyDescent="0.25">
      <c r="A203" s="183" t="s">
        <v>56</v>
      </c>
      <c r="B203" s="110"/>
      <c r="C203" s="180">
        <v>5020504000</v>
      </c>
      <c r="D203" s="98"/>
      <c r="E203" s="98"/>
      <c r="F203" s="303">
        <f t="shared" si="3"/>
        <v>0</v>
      </c>
      <c r="S203" s="97"/>
      <c r="AA203" s="86"/>
    </row>
    <row r="204" spans="1:27" ht="16.5" hidden="1" thickTop="1" x14ac:dyDescent="0.25">
      <c r="A204" s="284" t="s">
        <v>147</v>
      </c>
      <c r="B204" s="110"/>
      <c r="C204" s="180">
        <v>5020601001</v>
      </c>
      <c r="D204" s="98"/>
      <c r="E204" s="98"/>
      <c r="F204" s="303">
        <f t="shared" ref="F204:F268" si="4">D204+E204</f>
        <v>0</v>
      </c>
      <c r="S204" s="97"/>
      <c r="AA204" s="86"/>
    </row>
    <row r="205" spans="1:27" ht="16.5" hidden="1" thickTop="1" x14ac:dyDescent="0.25">
      <c r="A205" s="183" t="s">
        <v>210</v>
      </c>
      <c r="B205" s="110"/>
      <c r="C205" s="180">
        <v>5020602000</v>
      </c>
      <c r="D205" s="98"/>
      <c r="E205" s="98"/>
      <c r="F205" s="303">
        <f t="shared" si="4"/>
        <v>0</v>
      </c>
      <c r="S205" s="97"/>
      <c r="AA205" s="86"/>
    </row>
    <row r="206" spans="1:27" ht="16.5" hidden="1" thickTop="1" x14ac:dyDescent="0.25">
      <c r="A206" s="285" t="s">
        <v>209</v>
      </c>
      <c r="B206" s="110"/>
      <c r="C206" s="180">
        <v>5020901002</v>
      </c>
      <c r="D206" s="98"/>
      <c r="E206" s="98"/>
      <c r="F206" s="303">
        <f t="shared" si="4"/>
        <v>0</v>
      </c>
      <c r="S206" s="97"/>
      <c r="AA206" s="86"/>
    </row>
    <row r="207" spans="1:27" ht="16.5" hidden="1" thickTop="1" x14ac:dyDescent="0.25">
      <c r="A207" s="183" t="s">
        <v>169</v>
      </c>
      <c r="B207" s="110"/>
      <c r="C207" s="180">
        <v>5021003000</v>
      </c>
      <c r="D207" s="98"/>
      <c r="E207" s="98"/>
      <c r="F207" s="303">
        <f t="shared" si="4"/>
        <v>0</v>
      </c>
      <c r="S207" s="97"/>
      <c r="AA207" s="86"/>
    </row>
    <row r="208" spans="1:27" ht="16.5" hidden="1" thickTop="1" x14ac:dyDescent="0.25">
      <c r="A208" s="183" t="s">
        <v>154</v>
      </c>
      <c r="B208" s="110"/>
      <c r="C208" s="180">
        <v>5021101000</v>
      </c>
      <c r="D208" s="98"/>
      <c r="E208" s="98"/>
      <c r="F208" s="303">
        <f t="shared" si="4"/>
        <v>0</v>
      </c>
      <c r="S208" s="97"/>
      <c r="AA208" s="86"/>
    </row>
    <row r="209" spans="1:27" ht="16.5" hidden="1" thickTop="1" x14ac:dyDescent="0.25">
      <c r="A209" s="183" t="s">
        <v>62</v>
      </c>
      <c r="B209" s="110"/>
      <c r="C209" s="180">
        <v>5021102000</v>
      </c>
      <c r="D209" s="98"/>
      <c r="E209" s="98"/>
      <c r="F209" s="303">
        <f t="shared" si="4"/>
        <v>0</v>
      </c>
      <c r="S209" s="97"/>
      <c r="AA209" s="86"/>
    </row>
    <row r="210" spans="1:27" ht="16.5" hidden="1" thickTop="1" x14ac:dyDescent="0.25">
      <c r="A210" s="183" t="s">
        <v>63</v>
      </c>
      <c r="B210" s="110"/>
      <c r="C210" s="180">
        <v>5021103002</v>
      </c>
      <c r="D210" s="98"/>
      <c r="E210" s="98"/>
      <c r="F210" s="303">
        <f t="shared" si="4"/>
        <v>0</v>
      </c>
      <c r="S210" s="97"/>
      <c r="AA210" s="86"/>
    </row>
    <row r="211" spans="1:27" ht="16.5" hidden="1" thickTop="1" x14ac:dyDescent="0.25">
      <c r="A211" s="183" t="s">
        <v>66</v>
      </c>
      <c r="B211" s="110"/>
      <c r="C211" s="180">
        <v>5021199000</v>
      </c>
      <c r="D211" s="98"/>
      <c r="E211" s="98"/>
      <c r="F211" s="303">
        <f t="shared" si="4"/>
        <v>0</v>
      </c>
      <c r="S211" s="97"/>
      <c r="AA211" s="86"/>
    </row>
    <row r="212" spans="1:27" ht="16.5" hidden="1" thickTop="1" x14ac:dyDescent="0.25">
      <c r="A212" s="183" t="s">
        <v>64</v>
      </c>
      <c r="B212" s="110"/>
      <c r="C212" s="180">
        <v>5021202000</v>
      </c>
      <c r="D212" s="98"/>
      <c r="E212" s="98"/>
      <c r="F212" s="303">
        <f t="shared" si="4"/>
        <v>0</v>
      </c>
      <c r="S212" s="97"/>
      <c r="AA212" s="86"/>
    </row>
    <row r="213" spans="1:27" ht="16.5" hidden="1" thickTop="1" x14ac:dyDescent="0.25">
      <c r="A213" s="183" t="s">
        <v>65</v>
      </c>
      <c r="B213" s="110"/>
      <c r="C213" s="180">
        <v>5021203000</v>
      </c>
      <c r="D213" s="98"/>
      <c r="E213" s="98"/>
      <c r="F213" s="303">
        <f t="shared" si="4"/>
        <v>0</v>
      </c>
      <c r="S213" s="97"/>
      <c r="AA213" s="86"/>
    </row>
    <row r="214" spans="1:27" ht="16.5" hidden="1" thickTop="1" x14ac:dyDescent="0.25">
      <c r="A214" s="183" t="s">
        <v>208</v>
      </c>
      <c r="B214" s="110"/>
      <c r="C214" s="180">
        <v>5021299000</v>
      </c>
      <c r="D214" s="98"/>
      <c r="E214" s="98"/>
      <c r="F214" s="303">
        <f t="shared" si="4"/>
        <v>0</v>
      </c>
      <c r="S214" s="97"/>
      <c r="AA214" s="86"/>
    </row>
    <row r="215" spans="1:27" ht="32.25" hidden="1" thickTop="1" x14ac:dyDescent="0.25">
      <c r="A215" s="183" t="s">
        <v>155</v>
      </c>
      <c r="B215" s="110"/>
      <c r="C215" s="180">
        <v>5021304001</v>
      </c>
      <c r="D215" s="98"/>
      <c r="E215" s="98"/>
      <c r="F215" s="303">
        <f t="shared" si="4"/>
        <v>0</v>
      </c>
      <c r="S215" s="97"/>
      <c r="AA215" s="86"/>
    </row>
    <row r="216" spans="1:27" ht="32.25" hidden="1" thickTop="1" x14ac:dyDescent="0.25">
      <c r="A216" s="183" t="s">
        <v>156</v>
      </c>
      <c r="B216" s="110"/>
      <c r="C216" s="180">
        <v>5021304006</v>
      </c>
      <c r="D216" s="98"/>
      <c r="E216" s="98"/>
      <c r="F216" s="303">
        <f t="shared" si="4"/>
        <v>0</v>
      </c>
      <c r="S216" s="97"/>
      <c r="AA216" s="86"/>
    </row>
    <row r="217" spans="1:27" ht="32.25" hidden="1" thickTop="1" x14ac:dyDescent="0.25">
      <c r="A217" s="183" t="s">
        <v>157</v>
      </c>
      <c r="B217" s="110"/>
      <c r="C217" s="180">
        <v>5021304099</v>
      </c>
      <c r="D217" s="98"/>
      <c r="E217" s="98"/>
      <c r="F217" s="303">
        <f t="shared" si="4"/>
        <v>0</v>
      </c>
      <c r="S217" s="97"/>
      <c r="AA217" s="86"/>
    </row>
    <row r="218" spans="1:27" ht="32.25" hidden="1" thickTop="1" x14ac:dyDescent="0.25">
      <c r="A218" s="183" t="s">
        <v>159</v>
      </c>
      <c r="B218" s="110"/>
      <c r="C218" s="180">
        <v>5021305002</v>
      </c>
      <c r="D218" s="98"/>
      <c r="E218" s="98"/>
      <c r="F218" s="303">
        <f t="shared" si="4"/>
        <v>0</v>
      </c>
      <c r="S218" s="97"/>
      <c r="AA218" s="86"/>
    </row>
    <row r="219" spans="1:27" ht="32.25" hidden="1" thickTop="1" x14ac:dyDescent="0.25">
      <c r="A219" s="183" t="s">
        <v>160</v>
      </c>
      <c r="B219" s="110"/>
      <c r="C219" s="180">
        <v>5021305003</v>
      </c>
      <c r="D219" s="98"/>
      <c r="E219" s="98"/>
      <c r="F219" s="303">
        <f t="shared" si="4"/>
        <v>0</v>
      </c>
      <c r="S219" s="97"/>
      <c r="AA219" s="86"/>
    </row>
    <row r="220" spans="1:27" ht="32.25" hidden="1" thickTop="1" x14ac:dyDescent="0.25">
      <c r="A220" s="183" t="s">
        <v>161</v>
      </c>
      <c r="B220" s="110"/>
      <c r="C220" s="180">
        <v>5021305007</v>
      </c>
      <c r="D220" s="98"/>
      <c r="E220" s="98"/>
      <c r="F220" s="303">
        <f t="shared" si="4"/>
        <v>0</v>
      </c>
      <c r="S220" s="97"/>
      <c r="AA220" s="86"/>
    </row>
    <row r="221" spans="1:27" ht="16.5" hidden="1" thickTop="1" x14ac:dyDescent="0.25">
      <c r="A221" s="183" t="s">
        <v>491</v>
      </c>
      <c r="B221" s="110"/>
      <c r="C221" s="180">
        <v>5021305099</v>
      </c>
      <c r="D221" s="98"/>
      <c r="E221" s="98"/>
      <c r="F221" s="303">
        <f t="shared" si="4"/>
        <v>0</v>
      </c>
      <c r="S221" s="97"/>
      <c r="AA221" s="86"/>
    </row>
    <row r="222" spans="1:27" ht="32.25" hidden="1" thickTop="1" x14ac:dyDescent="0.25">
      <c r="A222" s="183" t="s">
        <v>163</v>
      </c>
      <c r="B222" s="110"/>
      <c r="C222" s="180">
        <v>5021306001</v>
      </c>
      <c r="D222" s="98"/>
      <c r="E222" s="98"/>
      <c r="F222" s="303">
        <f t="shared" si="4"/>
        <v>0</v>
      </c>
      <c r="S222" s="97"/>
      <c r="AA222" s="86"/>
    </row>
    <row r="223" spans="1:27" ht="16.5" hidden="1" thickTop="1" x14ac:dyDescent="0.25">
      <c r="A223" s="183" t="s">
        <v>67</v>
      </c>
      <c r="B223" s="110"/>
      <c r="C223" s="180">
        <v>5021307000</v>
      </c>
      <c r="D223" s="98"/>
      <c r="E223" s="98"/>
      <c r="F223" s="303">
        <f t="shared" si="4"/>
        <v>0</v>
      </c>
      <c r="S223" s="97"/>
      <c r="AA223" s="86"/>
    </row>
    <row r="224" spans="1:27" ht="32.25" hidden="1" thickTop="1" x14ac:dyDescent="0.25">
      <c r="A224" s="183" t="s">
        <v>158</v>
      </c>
      <c r="B224" s="110"/>
      <c r="C224" s="180">
        <v>5021309000</v>
      </c>
      <c r="D224" s="98"/>
      <c r="E224" s="98"/>
      <c r="F224" s="303">
        <f t="shared" si="4"/>
        <v>0</v>
      </c>
      <c r="S224" s="97"/>
      <c r="AA224" s="86"/>
    </row>
    <row r="225" spans="1:27" ht="16.5" hidden="1" thickTop="1" x14ac:dyDescent="0.25">
      <c r="A225" s="183" t="s">
        <v>68</v>
      </c>
      <c r="B225" s="110"/>
      <c r="C225" s="180">
        <v>5021399099</v>
      </c>
      <c r="D225" s="98"/>
      <c r="E225" s="98"/>
      <c r="F225" s="303">
        <f t="shared" si="4"/>
        <v>0</v>
      </c>
      <c r="S225" s="97"/>
      <c r="AA225" s="86"/>
    </row>
    <row r="226" spans="1:27" ht="16.5" hidden="1" thickTop="1" x14ac:dyDescent="0.25">
      <c r="A226" s="183" t="s">
        <v>164</v>
      </c>
      <c r="B226" s="110"/>
      <c r="C226" s="180">
        <v>5021402000</v>
      </c>
      <c r="D226" s="98"/>
      <c r="E226" s="98"/>
      <c r="F226" s="303">
        <f t="shared" si="4"/>
        <v>0</v>
      </c>
      <c r="S226" s="97"/>
      <c r="AA226" s="86"/>
    </row>
    <row r="227" spans="1:27" ht="16.5" hidden="1" thickTop="1" x14ac:dyDescent="0.25">
      <c r="A227" s="183" t="s">
        <v>165</v>
      </c>
      <c r="B227" s="110"/>
      <c r="C227" s="180">
        <v>5021403000</v>
      </c>
      <c r="D227" s="98"/>
      <c r="E227" s="98"/>
      <c r="F227" s="303">
        <f t="shared" si="4"/>
        <v>0</v>
      </c>
      <c r="S227" s="97"/>
      <c r="AA227" s="86"/>
    </row>
    <row r="228" spans="1:27" ht="16.5" hidden="1" thickTop="1" x14ac:dyDescent="0.25">
      <c r="A228" s="183" t="s">
        <v>166</v>
      </c>
      <c r="B228" s="110"/>
      <c r="C228" s="180">
        <v>5021405000</v>
      </c>
      <c r="D228" s="98"/>
      <c r="E228" s="98"/>
      <c r="F228" s="303">
        <f t="shared" si="4"/>
        <v>0</v>
      </c>
      <c r="S228" s="97"/>
      <c r="AA228" s="86"/>
    </row>
    <row r="229" spans="1:27" ht="16.5" hidden="1" thickTop="1" x14ac:dyDescent="0.25">
      <c r="A229" s="183" t="s">
        <v>167</v>
      </c>
      <c r="B229" s="110"/>
      <c r="C229" s="180">
        <v>5021499000</v>
      </c>
      <c r="D229" s="98"/>
      <c r="E229" s="98"/>
      <c r="F229" s="303">
        <f t="shared" si="4"/>
        <v>0</v>
      </c>
      <c r="S229" s="97"/>
      <c r="AA229" s="86"/>
    </row>
    <row r="230" spans="1:27" ht="16.5" hidden="1" thickTop="1" x14ac:dyDescent="0.25">
      <c r="A230" s="183" t="s">
        <v>442</v>
      </c>
      <c r="B230" s="110"/>
      <c r="C230" s="180">
        <v>5021407000</v>
      </c>
      <c r="D230" s="98"/>
      <c r="E230" s="98"/>
      <c r="F230" s="303">
        <f t="shared" si="4"/>
        <v>0</v>
      </c>
      <c r="S230" s="97"/>
      <c r="AA230" s="86"/>
    </row>
    <row r="231" spans="1:27" ht="16.5" hidden="1" thickTop="1" x14ac:dyDescent="0.25">
      <c r="A231" s="183" t="s">
        <v>70</v>
      </c>
      <c r="B231" s="110"/>
      <c r="C231" s="180">
        <v>5021502000</v>
      </c>
      <c r="D231" s="98"/>
      <c r="E231" s="98"/>
      <c r="F231" s="303">
        <f t="shared" si="4"/>
        <v>0</v>
      </c>
      <c r="S231" s="97"/>
      <c r="AA231" s="86"/>
    </row>
    <row r="232" spans="1:27" ht="16.5" hidden="1" thickTop="1" x14ac:dyDescent="0.25">
      <c r="A232" s="183" t="s">
        <v>71</v>
      </c>
      <c r="B232" s="110"/>
      <c r="C232" s="180">
        <v>5021503000</v>
      </c>
      <c r="D232" s="98"/>
      <c r="E232" s="98"/>
      <c r="F232" s="303">
        <f t="shared" si="4"/>
        <v>0</v>
      </c>
      <c r="S232" s="97"/>
      <c r="AA232" s="86"/>
    </row>
    <row r="233" spans="1:27" ht="16.5" hidden="1" thickTop="1" x14ac:dyDescent="0.25">
      <c r="A233" s="183" t="s">
        <v>170</v>
      </c>
      <c r="B233" s="110"/>
      <c r="C233" s="180">
        <v>5021601000</v>
      </c>
      <c r="D233" s="98"/>
      <c r="E233" s="98"/>
      <c r="F233" s="303">
        <f t="shared" si="4"/>
        <v>0</v>
      </c>
      <c r="S233" s="97"/>
      <c r="AA233" s="86"/>
    </row>
    <row r="234" spans="1:27" ht="16.5" hidden="1" thickTop="1" x14ac:dyDescent="0.25">
      <c r="A234" s="183" t="s">
        <v>58</v>
      </c>
      <c r="B234" s="110"/>
      <c r="C234" s="180">
        <v>5029901000</v>
      </c>
      <c r="D234" s="98"/>
      <c r="E234" s="98"/>
      <c r="F234" s="303">
        <f t="shared" si="4"/>
        <v>0</v>
      </c>
      <c r="S234" s="97"/>
      <c r="AA234" s="86"/>
    </row>
    <row r="235" spans="1:27" ht="16.5" hidden="1" thickTop="1" x14ac:dyDescent="0.25">
      <c r="A235" s="183" t="s">
        <v>148</v>
      </c>
      <c r="B235" s="110"/>
      <c r="C235" s="180">
        <v>5029902000</v>
      </c>
      <c r="D235" s="98"/>
      <c r="E235" s="98"/>
      <c r="F235" s="303">
        <f t="shared" si="4"/>
        <v>0</v>
      </c>
      <c r="S235" s="97"/>
      <c r="AA235" s="86"/>
    </row>
    <row r="236" spans="1:27" ht="16.5" hidden="1" thickTop="1" x14ac:dyDescent="0.25">
      <c r="A236" s="183" t="s">
        <v>59</v>
      </c>
      <c r="B236" s="110"/>
      <c r="C236" s="180">
        <v>5029903000</v>
      </c>
      <c r="D236" s="98"/>
      <c r="E236" s="98"/>
      <c r="F236" s="303">
        <f t="shared" si="4"/>
        <v>0</v>
      </c>
      <c r="S236" s="97"/>
      <c r="AA236" s="86"/>
    </row>
    <row r="237" spans="1:27" ht="16.5" hidden="1" thickTop="1" x14ac:dyDescent="0.25">
      <c r="A237" s="183" t="s">
        <v>60</v>
      </c>
      <c r="B237" s="110"/>
      <c r="C237" s="180">
        <v>5029904000</v>
      </c>
      <c r="D237" s="98"/>
      <c r="E237" s="98"/>
      <c r="F237" s="303">
        <f t="shared" si="4"/>
        <v>0</v>
      </c>
      <c r="S237" s="97"/>
      <c r="AA237" s="86"/>
    </row>
    <row r="238" spans="1:27" ht="16.5" hidden="1" thickTop="1" x14ac:dyDescent="0.25">
      <c r="A238" s="183" t="s">
        <v>407</v>
      </c>
      <c r="B238" s="110"/>
      <c r="C238" s="180">
        <v>5029905001</v>
      </c>
      <c r="D238" s="98"/>
      <c r="E238" s="98"/>
      <c r="F238" s="303">
        <f t="shared" si="4"/>
        <v>0</v>
      </c>
      <c r="S238" s="97"/>
      <c r="AA238" s="86"/>
    </row>
    <row r="239" spans="1:27" ht="16.5" hidden="1" thickTop="1" x14ac:dyDescent="0.25">
      <c r="A239" s="183" t="s">
        <v>408</v>
      </c>
      <c r="B239" s="110"/>
      <c r="C239" s="180">
        <v>5029905003</v>
      </c>
      <c r="D239" s="98"/>
      <c r="E239" s="98"/>
      <c r="F239" s="303">
        <f t="shared" si="4"/>
        <v>0</v>
      </c>
      <c r="S239" s="97"/>
      <c r="AA239" s="86"/>
    </row>
    <row r="240" spans="1:27" ht="16.5" hidden="1" thickTop="1" x14ac:dyDescent="0.25">
      <c r="A240" s="183" t="s">
        <v>409</v>
      </c>
      <c r="B240" s="110"/>
      <c r="C240" s="180">
        <v>5029905004</v>
      </c>
      <c r="D240" s="98"/>
      <c r="E240" s="98"/>
      <c r="F240" s="303">
        <f t="shared" si="4"/>
        <v>0</v>
      </c>
      <c r="S240" s="97"/>
      <c r="AA240" s="86"/>
    </row>
    <row r="241" spans="1:27" ht="16.5" hidden="1" thickTop="1" x14ac:dyDescent="0.25">
      <c r="A241" s="183" t="s">
        <v>410</v>
      </c>
      <c r="B241" s="110"/>
      <c r="C241" s="180">
        <v>5029905005</v>
      </c>
      <c r="D241" s="98"/>
      <c r="E241" s="98"/>
      <c r="F241" s="303">
        <f t="shared" si="4"/>
        <v>0</v>
      </c>
      <c r="S241" s="97"/>
      <c r="AA241" s="86"/>
    </row>
    <row r="242" spans="1:27" ht="16.5" hidden="1" thickTop="1" x14ac:dyDescent="0.25">
      <c r="A242" s="183" t="s">
        <v>153</v>
      </c>
      <c r="B242" s="110"/>
      <c r="C242" s="180">
        <v>5029905006</v>
      </c>
      <c r="D242" s="98"/>
      <c r="E242" s="98"/>
      <c r="F242" s="303">
        <f t="shared" si="4"/>
        <v>0</v>
      </c>
      <c r="S242" s="97"/>
      <c r="AA242" s="86"/>
    </row>
    <row r="243" spans="1:27" ht="16.5" hidden="1" thickTop="1" x14ac:dyDescent="0.25">
      <c r="A243" s="183" t="s">
        <v>416</v>
      </c>
      <c r="B243" s="110"/>
      <c r="C243" s="180">
        <v>5029905008</v>
      </c>
      <c r="D243" s="98"/>
      <c r="E243" s="98"/>
      <c r="F243" s="303">
        <f t="shared" si="4"/>
        <v>0</v>
      </c>
      <c r="S243" s="97"/>
      <c r="AA243" s="86"/>
    </row>
    <row r="244" spans="1:27" ht="16.5" hidden="1" thickTop="1" x14ac:dyDescent="0.25">
      <c r="A244" s="183" t="s">
        <v>57</v>
      </c>
      <c r="B244" s="110"/>
      <c r="C244" s="180">
        <v>5029906000</v>
      </c>
      <c r="D244" s="98"/>
      <c r="E244" s="98"/>
      <c r="F244" s="303">
        <f t="shared" si="4"/>
        <v>0</v>
      </c>
      <c r="S244" s="97"/>
      <c r="AA244" s="86"/>
    </row>
    <row r="245" spans="1:27" ht="16.5" hidden="1" thickTop="1" x14ac:dyDescent="0.25">
      <c r="A245" s="183" t="s">
        <v>61</v>
      </c>
      <c r="B245" s="110"/>
      <c r="C245" s="180">
        <v>5029907000</v>
      </c>
      <c r="D245" s="98"/>
      <c r="E245" s="98"/>
      <c r="F245" s="303">
        <f t="shared" si="4"/>
        <v>0</v>
      </c>
      <c r="S245" s="97"/>
      <c r="AA245" s="86"/>
    </row>
    <row r="246" spans="1:27" ht="16.5" hidden="1" thickTop="1" x14ac:dyDescent="0.25">
      <c r="A246" s="183" t="s">
        <v>458</v>
      </c>
      <c r="B246" s="110"/>
      <c r="C246" s="180">
        <v>5029907001</v>
      </c>
      <c r="D246" s="98"/>
      <c r="E246" s="98"/>
      <c r="F246" s="303">
        <f t="shared" si="4"/>
        <v>0</v>
      </c>
      <c r="S246" s="97"/>
      <c r="AA246" s="86"/>
    </row>
    <row r="247" spans="1:27" ht="16.5" hidden="1" thickTop="1" x14ac:dyDescent="0.25">
      <c r="A247" s="183" t="s">
        <v>69</v>
      </c>
      <c r="B247" s="110"/>
      <c r="C247" s="180">
        <v>5029908000</v>
      </c>
      <c r="D247" s="98"/>
      <c r="E247" s="98"/>
      <c r="F247" s="303">
        <f t="shared" si="4"/>
        <v>0</v>
      </c>
      <c r="S247" s="97"/>
      <c r="AA247" s="86"/>
    </row>
    <row r="248" spans="1:27" ht="16.5" hidden="1" thickTop="1" x14ac:dyDescent="0.25">
      <c r="A248" s="183" t="s">
        <v>80</v>
      </c>
      <c r="B248" s="110"/>
      <c r="C248" s="180">
        <v>5029999099</v>
      </c>
      <c r="D248" s="98"/>
      <c r="E248" s="98"/>
      <c r="F248" s="303">
        <f t="shared" si="4"/>
        <v>0</v>
      </c>
      <c r="S248" s="97"/>
      <c r="AA248" s="86"/>
    </row>
    <row r="249" spans="1:27" ht="16.5" hidden="1" thickTop="1" x14ac:dyDescent="0.25">
      <c r="A249" s="183" t="s">
        <v>168</v>
      </c>
      <c r="B249" s="110"/>
      <c r="C249" s="180">
        <v>5030104000</v>
      </c>
      <c r="D249" s="98"/>
      <c r="E249" s="98"/>
      <c r="F249" s="303">
        <f t="shared" si="4"/>
        <v>0</v>
      </c>
      <c r="S249" s="97"/>
      <c r="AA249" s="86"/>
    </row>
    <row r="250" spans="1:27" ht="16.5" hidden="1" thickTop="1" x14ac:dyDescent="0.25">
      <c r="A250" s="183" t="s">
        <v>547</v>
      </c>
      <c r="B250" s="110"/>
      <c r="C250" s="180">
        <v>5030199000</v>
      </c>
      <c r="D250" s="98"/>
      <c r="E250" s="98"/>
      <c r="F250" s="303">
        <f t="shared" si="4"/>
        <v>0</v>
      </c>
      <c r="S250" s="97"/>
      <c r="AA250" s="86"/>
    </row>
    <row r="251" spans="1:27" ht="16.5" hidden="1" thickTop="1" x14ac:dyDescent="0.25">
      <c r="A251" s="183" t="s">
        <v>386</v>
      </c>
      <c r="B251" s="110"/>
      <c r="C251" s="180">
        <v>5050102099</v>
      </c>
      <c r="D251" s="98"/>
      <c r="E251" s="98"/>
      <c r="F251" s="303">
        <f t="shared" si="4"/>
        <v>0</v>
      </c>
      <c r="S251" s="97"/>
      <c r="AA251" s="86"/>
    </row>
    <row r="252" spans="1:27" ht="16.5" hidden="1" thickTop="1" x14ac:dyDescent="0.25">
      <c r="A252" s="183" t="s">
        <v>72</v>
      </c>
      <c r="B252" s="110"/>
      <c r="C252" s="180">
        <v>5050104001</v>
      </c>
      <c r="D252" s="98"/>
      <c r="E252" s="98"/>
      <c r="F252" s="303">
        <f t="shared" si="4"/>
        <v>0</v>
      </c>
      <c r="S252" s="97"/>
      <c r="AA252" s="86"/>
    </row>
    <row r="253" spans="1:27" ht="16.5" hidden="1" thickTop="1" x14ac:dyDescent="0.25">
      <c r="A253" s="183" t="s">
        <v>171</v>
      </c>
      <c r="B253" s="110"/>
      <c r="C253" s="180">
        <v>5050104099</v>
      </c>
      <c r="D253" s="98"/>
      <c r="E253" s="98"/>
      <c r="F253" s="303">
        <f t="shared" si="4"/>
        <v>0</v>
      </c>
      <c r="S253" s="97"/>
      <c r="AA253" s="86"/>
    </row>
    <row r="254" spans="1:27" ht="16.5" hidden="1" thickTop="1" x14ac:dyDescent="0.25">
      <c r="A254" s="183" t="s">
        <v>73</v>
      </c>
      <c r="B254" s="110"/>
      <c r="C254" s="180">
        <v>5050105002</v>
      </c>
      <c r="D254" s="98"/>
      <c r="E254" s="98"/>
      <c r="F254" s="303">
        <f t="shared" si="4"/>
        <v>0</v>
      </c>
      <c r="S254" s="97"/>
      <c r="AA254" s="86"/>
    </row>
    <row r="255" spans="1:27" ht="16.5" hidden="1" thickTop="1" x14ac:dyDescent="0.25">
      <c r="A255" s="183" t="s">
        <v>75</v>
      </c>
      <c r="B255" s="110"/>
      <c r="C255" s="180">
        <v>5050105003</v>
      </c>
      <c r="D255" s="98"/>
      <c r="E255" s="98"/>
      <c r="F255" s="303">
        <f t="shared" si="4"/>
        <v>0</v>
      </c>
      <c r="S255" s="97"/>
      <c r="AA255" s="86"/>
    </row>
    <row r="256" spans="1:27" ht="16.5" hidden="1" thickTop="1" x14ac:dyDescent="0.25">
      <c r="A256" s="183" t="s">
        <v>76</v>
      </c>
      <c r="B256" s="110"/>
      <c r="C256" s="180">
        <v>5050105007</v>
      </c>
      <c r="D256" s="98"/>
      <c r="E256" s="98"/>
      <c r="F256" s="303">
        <f t="shared" si="4"/>
        <v>0</v>
      </c>
      <c r="S256" s="97"/>
      <c r="AA256" s="86"/>
    </row>
    <row r="257" spans="1:27" ht="32.25" hidden="1" thickTop="1" x14ac:dyDescent="0.25">
      <c r="A257" s="183" t="s">
        <v>173</v>
      </c>
      <c r="B257" s="110"/>
      <c r="C257" s="180">
        <v>5050105009</v>
      </c>
      <c r="D257" s="98"/>
      <c r="E257" s="98"/>
      <c r="F257" s="303">
        <f t="shared" si="4"/>
        <v>0</v>
      </c>
      <c r="S257" s="97"/>
      <c r="AA257" s="86"/>
    </row>
    <row r="258" spans="1:27" ht="16.5" hidden="1" thickTop="1" x14ac:dyDescent="0.25">
      <c r="A258" s="183" t="s">
        <v>174</v>
      </c>
      <c r="B258" s="110"/>
      <c r="C258" s="180">
        <v>5050105011</v>
      </c>
      <c r="D258" s="98"/>
      <c r="E258" s="98"/>
      <c r="F258" s="303">
        <f t="shared" si="4"/>
        <v>0</v>
      </c>
      <c r="S258" s="97"/>
      <c r="AA258" s="86"/>
    </row>
    <row r="259" spans="1:27" ht="16.5" hidden="1" thickTop="1" x14ac:dyDescent="0.25">
      <c r="A259" s="183" t="s">
        <v>77</v>
      </c>
      <c r="B259" s="110"/>
      <c r="C259" s="180">
        <v>5050105013</v>
      </c>
      <c r="D259" s="98"/>
      <c r="E259" s="98"/>
      <c r="F259" s="303">
        <f t="shared" si="4"/>
        <v>0</v>
      </c>
      <c r="S259" s="97"/>
      <c r="AA259" s="86"/>
    </row>
    <row r="260" spans="1:27" ht="16.5" hidden="1" thickTop="1" x14ac:dyDescent="0.25">
      <c r="A260" s="183" t="s">
        <v>267</v>
      </c>
      <c r="B260" s="110"/>
      <c r="C260" s="180">
        <v>5050105014</v>
      </c>
      <c r="D260" s="98"/>
      <c r="E260" s="98"/>
      <c r="F260" s="303">
        <f t="shared" si="4"/>
        <v>0</v>
      </c>
      <c r="S260" s="97"/>
      <c r="AA260" s="86"/>
    </row>
    <row r="261" spans="1:27" ht="16.5" hidden="1" thickTop="1" x14ac:dyDescent="0.25">
      <c r="A261" s="183" t="s">
        <v>175</v>
      </c>
      <c r="B261" s="110"/>
      <c r="C261" s="180">
        <v>5050105099</v>
      </c>
      <c r="D261" s="98"/>
      <c r="E261" s="98"/>
      <c r="F261" s="303">
        <f t="shared" si="4"/>
        <v>0</v>
      </c>
      <c r="S261" s="97"/>
      <c r="AA261" s="86"/>
    </row>
    <row r="262" spans="1:27" ht="16.5" hidden="1" thickTop="1" x14ac:dyDescent="0.25">
      <c r="A262" s="183" t="s">
        <v>78</v>
      </c>
      <c r="B262" s="110"/>
      <c r="C262" s="180">
        <v>5050106001</v>
      </c>
      <c r="D262" s="98"/>
      <c r="E262" s="98"/>
      <c r="F262" s="303">
        <f t="shared" si="4"/>
        <v>0</v>
      </c>
      <c r="S262" s="97"/>
      <c r="AA262" s="86"/>
    </row>
    <row r="263" spans="1:27" ht="16.5" hidden="1" thickTop="1" x14ac:dyDescent="0.25">
      <c r="A263" s="183" t="s">
        <v>419</v>
      </c>
      <c r="B263" s="110"/>
      <c r="C263" s="180">
        <v>5050108002</v>
      </c>
      <c r="D263" s="98"/>
      <c r="E263" s="98"/>
      <c r="F263" s="303">
        <f t="shared" si="4"/>
        <v>0</v>
      </c>
      <c r="S263" s="97"/>
      <c r="AA263" s="86"/>
    </row>
    <row r="264" spans="1:27" ht="16.5" hidden="1" thickTop="1" x14ac:dyDescent="0.25">
      <c r="A264" s="183" t="s">
        <v>74</v>
      </c>
      <c r="B264" s="110"/>
      <c r="C264" s="180">
        <v>5050107001</v>
      </c>
      <c r="D264" s="98"/>
      <c r="E264" s="98"/>
      <c r="F264" s="303">
        <f t="shared" si="4"/>
        <v>0</v>
      </c>
      <c r="S264" s="97"/>
      <c r="AA264" s="86"/>
    </row>
    <row r="265" spans="1:27" ht="16.5" hidden="1" thickTop="1" x14ac:dyDescent="0.25">
      <c r="A265" s="183" t="s">
        <v>172</v>
      </c>
      <c r="B265" s="110"/>
      <c r="C265" s="180">
        <v>5050107002</v>
      </c>
      <c r="D265" s="98"/>
      <c r="E265" s="98"/>
      <c r="F265" s="303">
        <f t="shared" si="4"/>
        <v>0</v>
      </c>
      <c r="S265" s="97"/>
      <c r="AA265" s="86"/>
    </row>
    <row r="266" spans="1:27" ht="16.5" hidden="1" thickTop="1" x14ac:dyDescent="0.25">
      <c r="A266" s="183" t="s">
        <v>79</v>
      </c>
      <c r="B266" s="110"/>
      <c r="C266" s="180">
        <v>5050199099</v>
      </c>
      <c r="D266" s="98"/>
      <c r="E266" s="98"/>
      <c r="F266" s="303">
        <f t="shared" si="4"/>
        <v>0</v>
      </c>
      <c r="S266" s="97"/>
      <c r="AA266" s="86"/>
    </row>
    <row r="267" spans="1:27" ht="16.5" hidden="1" thickTop="1" x14ac:dyDescent="0.25">
      <c r="A267" s="183" t="s">
        <v>360</v>
      </c>
      <c r="B267" s="110"/>
      <c r="C267" s="180">
        <v>5050201000</v>
      </c>
      <c r="D267" s="98"/>
      <c r="E267" s="98"/>
      <c r="F267" s="303">
        <f t="shared" si="4"/>
        <v>0</v>
      </c>
      <c r="S267" s="97"/>
      <c r="AA267" s="86"/>
    </row>
    <row r="268" spans="1:27" ht="16.5" hidden="1" thickTop="1" x14ac:dyDescent="0.25">
      <c r="A268" s="183" t="s">
        <v>176</v>
      </c>
      <c r="B268" s="110"/>
      <c r="C268" s="180">
        <v>5050409000</v>
      </c>
      <c r="D268" s="98"/>
      <c r="E268" s="98"/>
      <c r="F268" s="303">
        <f t="shared" si="4"/>
        <v>0</v>
      </c>
      <c r="S268" s="97"/>
      <c r="AA268" s="86"/>
    </row>
    <row r="269" spans="1:27" ht="16.5" thickTop="1" x14ac:dyDescent="0.25">
      <c r="A269" s="183" t="s">
        <v>553</v>
      </c>
      <c r="B269" s="110">
        <v>5050307000</v>
      </c>
      <c r="C269" s="180">
        <v>5050307000</v>
      </c>
      <c r="D269" s="98"/>
      <c r="E269" s="98"/>
      <c r="F269" s="303"/>
      <c r="S269" s="97"/>
      <c r="AA269" s="86"/>
    </row>
    <row r="270" spans="1:27" hidden="1" x14ac:dyDescent="0.25">
      <c r="A270" s="183" t="s">
        <v>551</v>
      </c>
      <c r="B270" s="110"/>
      <c r="C270" s="180">
        <v>5050404000</v>
      </c>
      <c r="D270" s="98"/>
      <c r="E270" s="98"/>
      <c r="F270" s="303">
        <f t="shared" ref="F270:F273" si="5">D270+E270</f>
        <v>0</v>
      </c>
      <c r="S270" s="97"/>
      <c r="AA270" s="86"/>
    </row>
    <row r="271" spans="1:27" hidden="1" x14ac:dyDescent="0.25">
      <c r="A271" s="286" t="s">
        <v>177</v>
      </c>
      <c r="C271" s="180">
        <v>5050499000</v>
      </c>
      <c r="D271" s="98"/>
      <c r="E271" s="98"/>
      <c r="F271" s="303">
        <f t="shared" si="5"/>
        <v>0</v>
      </c>
      <c r="S271" s="97"/>
      <c r="AA271" s="86"/>
    </row>
    <row r="272" spans="1:27" hidden="1" x14ac:dyDescent="0.25">
      <c r="A272" s="286" t="s">
        <v>370</v>
      </c>
      <c r="B272" s="237" t="s">
        <v>94</v>
      </c>
      <c r="C272" s="180">
        <v>5060401000</v>
      </c>
      <c r="D272" s="98"/>
      <c r="E272" s="98"/>
      <c r="F272" s="303">
        <f t="shared" si="5"/>
        <v>0</v>
      </c>
      <c r="S272" s="97"/>
      <c r="AA272" s="86"/>
    </row>
    <row r="273" spans="1:27" ht="31.5" hidden="1" x14ac:dyDescent="0.25">
      <c r="A273" s="286" t="s">
        <v>457</v>
      </c>
      <c r="B273" s="237"/>
      <c r="C273" s="180">
        <v>5060405003</v>
      </c>
      <c r="D273" s="98"/>
      <c r="E273" s="98"/>
      <c r="F273" s="303">
        <f t="shared" si="5"/>
        <v>0</v>
      </c>
      <c r="S273" s="97"/>
      <c r="AA273" s="86"/>
    </row>
    <row r="274" spans="1:27" x14ac:dyDescent="0.25">
      <c r="B274" s="237"/>
      <c r="C274" s="180"/>
      <c r="D274" s="98"/>
      <c r="E274" s="98"/>
      <c r="F274" s="303"/>
      <c r="S274" s="97"/>
      <c r="AA274" s="86"/>
    </row>
    <row r="275" spans="1:27" ht="16.5" thickBot="1" x14ac:dyDescent="0.3">
      <c r="C275" s="293"/>
      <c r="D275" s="140">
        <f>SUM(D10:D273)</f>
        <v>1057685258.4000001</v>
      </c>
      <c r="E275" s="140">
        <f>SUM(E10:E273)</f>
        <v>1057685258.4000025</v>
      </c>
      <c r="F275" s="304">
        <f>SUM(F10:F272)</f>
        <v>2115370516.8000031</v>
      </c>
      <c r="G275" s="140"/>
      <c r="H275" s="178"/>
      <c r="I275" s="140"/>
      <c r="J275" s="140"/>
      <c r="K275" s="140"/>
      <c r="L275" s="140"/>
      <c r="M275" s="140"/>
      <c r="N275" s="140"/>
      <c r="O275" s="140"/>
      <c r="P275" s="140"/>
      <c r="Q275" s="140"/>
      <c r="R275" s="140"/>
      <c r="S275" s="140"/>
      <c r="AA275" s="86"/>
    </row>
    <row r="276" spans="1:27" ht="16.5" thickTop="1" x14ac:dyDescent="0.25">
      <c r="A276" s="287" t="s">
        <v>411</v>
      </c>
      <c r="D276" s="122"/>
      <c r="E276" s="122">
        <f>D275-E275</f>
        <v>-2.384185791015625E-6</v>
      </c>
      <c r="F276" s="305">
        <f>F275/2</f>
        <v>1057685258.4000015</v>
      </c>
      <c r="G276" s="122"/>
      <c r="H276" s="138"/>
      <c r="I276" s="122"/>
      <c r="J276" s="122"/>
      <c r="K276" s="122"/>
      <c r="L276" s="122"/>
      <c r="M276" s="122"/>
      <c r="N276" s="122"/>
      <c r="O276" s="122"/>
      <c r="P276" s="122"/>
      <c r="Q276" s="122"/>
      <c r="R276" s="122"/>
      <c r="S276" s="122"/>
    </row>
    <row r="277" spans="1:27" x14ac:dyDescent="0.25">
      <c r="D277" s="116" t="s">
        <v>414</v>
      </c>
      <c r="F277" s="306">
        <f>E275-F276</f>
        <v>9.5367431640625E-7</v>
      </c>
    </row>
    <row r="278" spans="1:27" x14ac:dyDescent="0.25">
      <c r="C278" s="294" t="s">
        <v>543</v>
      </c>
      <c r="D278" s="86"/>
      <c r="E278" s="86"/>
    </row>
    <row r="279" spans="1:27" x14ac:dyDescent="0.25">
      <c r="D279" s="426" t="s">
        <v>389</v>
      </c>
      <c r="E279" s="86"/>
    </row>
    <row r="280" spans="1:27" x14ac:dyDescent="0.25">
      <c r="C280" s="295"/>
      <c r="D280" s="112" t="s">
        <v>363</v>
      </c>
      <c r="E280" s="86"/>
    </row>
    <row r="281" spans="1:27" hidden="1" x14ac:dyDescent="0.25"/>
    <row r="282" spans="1:27" hidden="1" x14ac:dyDescent="0.25">
      <c r="E282" s="116">
        <f>E122-[18]TB!$AC$122</f>
        <v>-1438652909.5099976</v>
      </c>
    </row>
    <row r="283" spans="1:27" hidden="1" x14ac:dyDescent="0.25">
      <c r="D283" s="116">
        <f>D275-[18]TB!$AB$269</f>
        <v>-1606468329.8799996</v>
      </c>
      <c r="E283" s="116">
        <f>E275-[18]TB!$AB$269</f>
        <v>-1606468329.8799973</v>
      </c>
    </row>
    <row r="284" spans="1:27" hidden="1" x14ac:dyDescent="0.25"/>
    <row r="285" spans="1:27" x14ac:dyDescent="0.25">
      <c r="D285" s="116">
        <f>[17]TB!$AB$277</f>
        <v>1057685258.4000002</v>
      </c>
      <c r="E285" s="116">
        <f>[17]TB!$AC$277</f>
        <v>1057685258.4000006</v>
      </c>
    </row>
    <row r="286" spans="1:27" x14ac:dyDescent="0.25">
      <c r="D286" s="116">
        <f>D275-D285</f>
        <v>0</v>
      </c>
      <c r="E286" s="116">
        <f>E275-E285</f>
        <v>1.9073486328125E-6</v>
      </c>
    </row>
  </sheetData>
  <autoFilter ref="A9:AA277">
    <filterColumn colId="5">
      <filters blank="1">
        <filter val="0.00"/>
        <filter val="1,025,567.56"/>
        <filter val="1,057,685,258.40"/>
        <filter val="1,500.00"/>
        <filter val="1,705.17"/>
        <filter val="1,887,336.87"/>
        <filter val="10,310,298.55"/>
        <filter val="10,848,086.25"/>
        <filter val="104,861.57"/>
        <filter val="106,254,872.28"/>
        <filter val="11,092,962.93"/>
        <filter val="11,098,873.93"/>
        <filter val="11,854,678.75"/>
        <filter val="13,457,915.16"/>
        <filter val="13,914,630.00"/>
        <filter val="135,898.00"/>
        <filter val="149,560.00"/>
        <filter val="150,830.55"/>
        <filter val="158,769.00"/>
        <filter val="16,276.00"/>
        <filter val="179,124.09"/>
        <filter val="185,060,554.27"/>
        <filter val="193,062,384.37"/>
        <filter val="2,063,972.97"/>
        <filter val="2,115,370,516.80"/>
        <filter val="2,435,287.89"/>
        <filter val="21,337,000.00"/>
        <filter val="210,000.00"/>
        <filter val="22,246,659.50"/>
        <filter val="22,256,506.46"/>
        <filter val="220,000.00"/>
        <filter val="25,570.00"/>
        <filter val="269,936.06"/>
        <filter val="28,436,934.66"/>
        <filter val="29,012,774.38"/>
        <filter val="3,027,097.69"/>
        <filter val="3,103,412.70"/>
        <filter val="3,545,933.87"/>
        <filter val="3,900.00"/>
        <filter val="31,454.42"/>
        <filter val="330,000.00"/>
        <filter val="36,203.54"/>
        <filter val="365,376.47"/>
        <filter val="392,342,147.20"/>
        <filter val="41,357,030.31"/>
        <filter val="42,892.50"/>
        <filter val="435,078.56"/>
        <filter val="47,350.00"/>
        <filter val="477,377.28"/>
        <filter val="5,072,765.98"/>
        <filter val="51,002,202.97"/>
        <filter val="53,384,186.76"/>
        <filter val="561,610.40"/>
        <filter val="577,680.00"/>
        <filter val="6,260,372.35"/>
        <filter val="65,473.78"/>
        <filter val="688,133.12"/>
        <filter val="699,000.00"/>
        <filter val="71,741.22"/>
        <filter val="730,233,057.53"/>
        <filter val="735,000.00"/>
        <filter val="748,200.50"/>
        <filter val="75,000.00"/>
        <filter val="752,978.50"/>
        <filter val="781,714.57"/>
        <filter val="79,220.00"/>
        <filter val="8,181,442.96"/>
        <filter val="8,194,329.89"/>
        <filter val="8,490.00"/>
        <filter val="800,648.79"/>
        <filter val="82,068.67"/>
        <filter val="9,328,622.88"/>
        <filter val="90,552,093.18"/>
        <filter val="915,693.23"/>
        <filter val="94,757.76"/>
        <filter val="997,450.00"/>
      </filters>
    </filterColumn>
  </autoFilter>
  <sortState ref="A11:U251">
    <sortCondition ref="C10"/>
  </sortState>
  <mergeCells count="6">
    <mergeCell ref="A7:A8"/>
    <mergeCell ref="A1:E1"/>
    <mergeCell ref="A2:E2"/>
    <mergeCell ref="A3:E3"/>
    <mergeCell ref="A4:E4"/>
    <mergeCell ref="A5:E5"/>
  </mergeCells>
  <printOptions horizontalCentered="1"/>
  <pageMargins left="0.70866141732283472" right="0.70866141732283472" top="0.51181102362204722" bottom="0.51181102362204722" header="0.31496062992125984" footer="0.31496062992125984"/>
  <pageSetup paperSize="9" scale="98" fitToHeight="0" orientation="portrait" r:id="rId1"/>
  <rowBreaks count="2" manualBreakCount="2">
    <brk id="236" max="4" man="1"/>
    <brk id="280" max="4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Q290"/>
  <sheetViews>
    <sheetView view="pageBreakPreview" zoomScale="115" zoomScaleNormal="100" zoomScaleSheetLayoutView="115" workbookViewId="0">
      <pane xSplit="3" ySplit="9" topLeftCell="D253" activePane="bottomRight" state="frozen"/>
      <selection activeCell="F121" sqref="F121"/>
      <selection pane="topRight" activeCell="F121" sqref="F121"/>
      <selection pane="bottomLeft" activeCell="F121" sqref="F121"/>
      <selection pane="bottomRight" activeCell="G286" sqref="G286"/>
    </sheetView>
  </sheetViews>
  <sheetFormatPr defaultColWidth="9.140625" defaultRowHeight="15.75" x14ac:dyDescent="0.25"/>
  <cols>
    <col min="1" max="1" width="52.42578125" style="286" customWidth="1"/>
    <col min="2" max="2" width="8.7109375" style="106" hidden="1" customWidth="1"/>
    <col min="3" max="3" width="12.42578125" style="103" bestFit="1" customWidth="1"/>
    <col min="4" max="4" width="18" style="86" customWidth="1"/>
    <col min="5" max="9" width="17.85546875" style="86" customWidth="1"/>
    <col min="10" max="10" width="20.85546875" style="86" hidden="1" customWidth="1"/>
    <col min="11" max="11" width="16.7109375" style="85" hidden="1" customWidth="1"/>
    <col min="12" max="12" width="9.140625" style="85" hidden="1" customWidth="1"/>
    <col min="13" max="13" width="15.140625" style="86" hidden="1" customWidth="1"/>
    <col min="14" max="14" width="16" style="86" hidden="1" customWidth="1"/>
    <col min="15" max="15" width="9.140625" style="85" hidden="1" customWidth="1"/>
    <col min="16" max="17" width="16" style="85" hidden="1" customWidth="1"/>
    <col min="18" max="18" width="9.140625" style="85" hidden="1" customWidth="1"/>
    <col min="19" max="19" width="12.5703125" style="86" hidden="1" customWidth="1"/>
    <col min="20" max="20" width="12.42578125" style="86" hidden="1" customWidth="1"/>
    <col min="21" max="21" width="17" style="86" hidden="1" customWidth="1"/>
    <col min="22" max="22" width="14.5703125" style="86" hidden="1" customWidth="1"/>
    <col min="23" max="23" width="9.140625" style="85" hidden="1" customWidth="1"/>
    <col min="24" max="25" width="16.5703125" style="85" hidden="1" customWidth="1"/>
    <col min="26" max="27" width="16.7109375" style="86" hidden="1" customWidth="1"/>
    <col min="28" max="28" width="15.28515625" style="86" hidden="1" customWidth="1"/>
    <col min="29" max="30" width="16.7109375" style="86" hidden="1" customWidth="1"/>
    <col min="31" max="31" width="9.140625" style="85" hidden="1" customWidth="1"/>
    <col min="32" max="32" width="21.7109375" style="85" hidden="1" customWidth="1"/>
    <col min="33" max="36" width="9.140625" style="85" hidden="1" customWidth="1"/>
    <col min="37" max="37" width="14.42578125" style="85" hidden="1" customWidth="1"/>
    <col min="38" max="38" width="0" style="85" hidden="1" customWidth="1"/>
    <col min="39" max="39" width="11.5703125" style="85" hidden="1" customWidth="1"/>
    <col min="40" max="40" width="20.5703125" style="85" hidden="1" customWidth="1"/>
    <col min="41" max="41" width="20.42578125" style="85" hidden="1" customWidth="1"/>
    <col min="42" max="42" width="11.28515625" style="85" hidden="1" customWidth="1"/>
    <col min="43" max="43" width="15.28515625" style="85" hidden="1" customWidth="1"/>
    <col min="44" max="16384" width="9.140625" style="85"/>
  </cols>
  <sheetData>
    <row r="1" spans="1:43" x14ac:dyDescent="0.25">
      <c r="A1" s="542" t="s">
        <v>0</v>
      </c>
      <c r="B1" s="542"/>
      <c r="C1" s="542"/>
      <c r="D1" s="542"/>
      <c r="E1" s="542"/>
      <c r="F1" s="427"/>
      <c r="G1" s="427"/>
      <c r="H1" s="427"/>
      <c r="I1" s="427"/>
      <c r="K1" s="348"/>
    </row>
    <row r="2" spans="1:43" x14ac:dyDescent="0.25">
      <c r="A2" s="542" t="s">
        <v>1</v>
      </c>
      <c r="B2" s="542"/>
      <c r="C2" s="542"/>
      <c r="D2" s="542"/>
      <c r="E2" s="542"/>
      <c r="F2" s="427"/>
      <c r="G2" s="427"/>
      <c r="H2" s="427"/>
      <c r="I2" s="427"/>
    </row>
    <row r="3" spans="1:43" x14ac:dyDescent="0.25">
      <c r="A3" s="543" t="s">
        <v>536</v>
      </c>
      <c r="B3" s="543"/>
      <c r="C3" s="542"/>
      <c r="D3" s="543"/>
      <c r="E3" s="543"/>
      <c r="F3" s="428"/>
      <c r="G3" s="428"/>
      <c r="H3" s="428"/>
      <c r="I3" s="428"/>
    </row>
    <row r="4" spans="1:43" x14ac:dyDescent="0.25">
      <c r="A4" s="544" t="s">
        <v>365</v>
      </c>
      <c r="B4" s="544"/>
      <c r="C4" s="550"/>
      <c r="D4" s="544"/>
      <c r="E4" s="544"/>
      <c r="F4" s="429"/>
      <c r="G4" s="429"/>
      <c r="H4" s="429"/>
      <c r="I4" s="429"/>
    </row>
    <row r="5" spans="1:43" x14ac:dyDescent="0.25">
      <c r="A5" s="545" t="str">
        <f>'[11]tb control'!A5:E5</f>
        <v>As at December 31, 2023</v>
      </c>
      <c r="B5" s="545"/>
      <c r="C5" s="545"/>
      <c r="D5" s="545"/>
      <c r="E5" s="545"/>
      <c r="F5" s="430"/>
      <c r="G5" s="430"/>
      <c r="H5" s="430"/>
      <c r="I5" s="430"/>
      <c r="N5" s="86">
        <f>SUM(D10:D114)</f>
        <v>1856685705.9899998</v>
      </c>
    </row>
    <row r="6" spans="1:43" x14ac:dyDescent="0.25">
      <c r="A6" s="545"/>
      <c r="B6" s="545"/>
      <c r="C6" s="545"/>
      <c r="D6" s="545"/>
      <c r="E6" s="545"/>
      <c r="F6" s="430"/>
      <c r="G6" s="430"/>
      <c r="H6" s="430"/>
      <c r="I6" s="430"/>
      <c r="N6" s="86">
        <f>SUM(E10:E114)</f>
        <v>428690583.63</v>
      </c>
    </row>
    <row r="7" spans="1:43" x14ac:dyDescent="0.25">
      <c r="A7" s="546" t="s">
        <v>81</v>
      </c>
      <c r="B7" s="87" t="s">
        <v>82</v>
      </c>
      <c r="C7" s="88" t="s">
        <v>178</v>
      </c>
      <c r="D7" s="89"/>
      <c r="E7" s="89"/>
      <c r="F7" s="551" t="s">
        <v>527</v>
      </c>
      <c r="G7" s="552"/>
      <c r="H7" s="552" t="s">
        <v>528</v>
      </c>
      <c r="I7" s="552"/>
      <c r="N7" s="90">
        <f>N5-N6</f>
        <v>1427995122.3599997</v>
      </c>
    </row>
    <row r="8" spans="1:43" x14ac:dyDescent="0.25">
      <c r="A8" s="547"/>
      <c r="B8" s="91" t="s">
        <v>83</v>
      </c>
      <c r="C8" s="91" t="s">
        <v>83</v>
      </c>
      <c r="D8" s="92" t="s">
        <v>84</v>
      </c>
      <c r="E8" s="92" t="s">
        <v>85</v>
      </c>
      <c r="F8" s="92" t="s">
        <v>84</v>
      </c>
      <c r="G8" s="92" t="s">
        <v>85</v>
      </c>
      <c r="H8" s="92" t="s">
        <v>84</v>
      </c>
      <c r="I8" s="92" t="s">
        <v>85</v>
      </c>
    </row>
    <row r="9" spans="1:43" x14ac:dyDescent="0.25">
      <c r="A9" s="283"/>
      <c r="B9" s="94"/>
      <c r="C9" s="110"/>
      <c r="D9" s="431"/>
      <c r="E9" s="431"/>
      <c r="F9" s="431"/>
      <c r="G9" s="431"/>
      <c r="H9" s="431"/>
      <c r="I9" s="431"/>
    </row>
    <row r="10" spans="1:43" s="86" customFormat="1" x14ac:dyDescent="0.25">
      <c r="A10" s="183" t="s">
        <v>2</v>
      </c>
      <c r="B10" s="96"/>
      <c r="C10" s="110">
        <v>1010101000</v>
      </c>
      <c r="D10" s="157">
        <v>34448915.68</v>
      </c>
      <c r="E10" s="97">
        <v>0</v>
      </c>
      <c r="F10" s="97"/>
      <c r="G10" s="97"/>
      <c r="H10" s="97">
        <f t="shared" ref="H10:H26" si="0">D10+F10-G10</f>
        <v>34448915.68</v>
      </c>
      <c r="I10" s="97">
        <v>0</v>
      </c>
      <c r="J10" s="86">
        <f t="shared" ref="J10" si="1">D10+E10</f>
        <v>34448915.68</v>
      </c>
      <c r="K10" s="98">
        <f>SUM(D10:E10)</f>
        <v>34448915.68</v>
      </c>
      <c r="O10" s="85"/>
      <c r="P10" s="85"/>
      <c r="Q10" s="85"/>
      <c r="R10" s="85"/>
      <c r="W10" s="85"/>
      <c r="X10" s="86">
        <v>33163.9</v>
      </c>
      <c r="Y10" s="86">
        <f t="shared" ref="Y10:Y18" si="2">D10-X10</f>
        <v>34415751.780000001</v>
      </c>
      <c r="AF10" s="86">
        <f t="shared" ref="AF10:AF19" si="3">D10+E10</f>
        <v>34448915.68</v>
      </c>
      <c r="AO10" s="86">
        <f t="shared" ref="AO10:AO54" si="4">F10+G10</f>
        <v>0</v>
      </c>
    </row>
    <row r="11" spans="1:43" s="86" customFormat="1" x14ac:dyDescent="0.25">
      <c r="A11" s="183" t="s">
        <v>228</v>
      </c>
      <c r="B11" s="96"/>
      <c r="C11" s="110">
        <v>1990102000</v>
      </c>
      <c r="D11" s="157">
        <v>0</v>
      </c>
      <c r="E11" s="97">
        <v>0</v>
      </c>
      <c r="F11" s="97"/>
      <c r="G11" s="97"/>
      <c r="H11" s="97">
        <f t="shared" si="0"/>
        <v>0</v>
      </c>
      <c r="I11" s="97">
        <v>0</v>
      </c>
      <c r="J11" s="86">
        <f t="shared" ref="J11:J54" si="5">D11+E11</f>
        <v>0</v>
      </c>
      <c r="K11" s="98"/>
      <c r="O11" s="85"/>
      <c r="P11" s="85"/>
      <c r="Q11" s="85"/>
      <c r="R11" s="85"/>
      <c r="W11" s="85"/>
      <c r="X11" s="86">
        <v>12008800.93</v>
      </c>
      <c r="Y11" s="86">
        <f t="shared" si="2"/>
        <v>-12008800.93</v>
      </c>
      <c r="AF11" s="86">
        <f t="shared" si="3"/>
        <v>0</v>
      </c>
      <c r="AO11" s="86">
        <f t="shared" si="4"/>
        <v>0</v>
      </c>
    </row>
    <row r="12" spans="1:43" s="86" customFormat="1" x14ac:dyDescent="0.25">
      <c r="A12" s="183" t="s">
        <v>398</v>
      </c>
      <c r="B12" s="96"/>
      <c r="C12" s="110">
        <v>1990103000</v>
      </c>
      <c r="D12" s="157">
        <v>30640800</v>
      </c>
      <c r="E12" s="97">
        <v>0</v>
      </c>
      <c r="F12" s="97"/>
      <c r="G12" s="97">
        <f>7385425.01+6284000+2028317+14943057.99</f>
        <v>30640800</v>
      </c>
      <c r="H12" s="97">
        <f t="shared" si="0"/>
        <v>0</v>
      </c>
      <c r="I12" s="97">
        <v>0</v>
      </c>
      <c r="J12" s="86">
        <f t="shared" si="5"/>
        <v>30640800</v>
      </c>
      <c r="K12" s="98"/>
      <c r="O12" s="85"/>
      <c r="P12" s="85"/>
      <c r="Q12" s="85"/>
      <c r="R12" s="85"/>
      <c r="W12" s="85"/>
      <c r="X12" s="86">
        <v>300</v>
      </c>
      <c r="Y12" s="86">
        <f t="shared" si="2"/>
        <v>30640500</v>
      </c>
      <c r="AA12" s="86" t="s">
        <v>184</v>
      </c>
      <c r="AF12" s="86">
        <f t="shared" si="3"/>
        <v>30640800</v>
      </c>
      <c r="AO12" s="86">
        <f t="shared" si="4"/>
        <v>30640800</v>
      </c>
    </row>
    <row r="13" spans="1:43" s="86" customFormat="1" x14ac:dyDescent="0.25">
      <c r="A13" s="183" t="s">
        <v>3</v>
      </c>
      <c r="B13" s="96"/>
      <c r="C13" s="110">
        <v>1010102000</v>
      </c>
      <c r="D13" s="157">
        <v>905000</v>
      </c>
      <c r="E13" s="97">
        <v>0</v>
      </c>
      <c r="F13" s="97">
        <v>17959.490000000002</v>
      </c>
      <c r="G13" s="97">
        <f>99646.95+'[19]FC1 2024'!$O$46+162742.01+49987.55+50052.21</f>
        <v>493216.49</v>
      </c>
      <c r="H13" s="97">
        <f t="shared" si="0"/>
        <v>429743</v>
      </c>
      <c r="I13" s="97">
        <v>0</v>
      </c>
      <c r="J13" s="86">
        <f t="shared" si="5"/>
        <v>905000</v>
      </c>
      <c r="K13" s="98"/>
      <c r="O13" s="85"/>
      <c r="P13" s="85"/>
      <c r="Q13" s="85"/>
      <c r="R13" s="85"/>
      <c r="W13" s="85"/>
      <c r="X13" s="86">
        <v>1898730</v>
      </c>
      <c r="Y13" s="86">
        <f t="shared" si="2"/>
        <v>-993730</v>
      </c>
      <c r="AA13" s="86">
        <f>SUM(D10:D50)</f>
        <v>1519697989.1500001</v>
      </c>
      <c r="AF13" s="86">
        <f t="shared" si="3"/>
        <v>905000</v>
      </c>
      <c r="AO13" s="86">
        <f t="shared" si="4"/>
        <v>511175.98</v>
      </c>
      <c r="AQ13" s="86">
        <f>G13-F13</f>
        <v>475257</v>
      </c>
    </row>
    <row r="14" spans="1:43" s="86" customFormat="1" ht="43.5" customHeight="1" x14ac:dyDescent="0.25">
      <c r="A14" s="183" t="s">
        <v>97</v>
      </c>
      <c r="B14" s="96"/>
      <c r="C14" s="110">
        <v>1010404000</v>
      </c>
      <c r="D14" s="157">
        <v>0</v>
      </c>
      <c r="E14" s="97">
        <v>0</v>
      </c>
      <c r="F14" s="97"/>
      <c r="G14" s="97"/>
      <c r="H14" s="97">
        <f t="shared" si="0"/>
        <v>0</v>
      </c>
      <c r="I14" s="97">
        <v>0</v>
      </c>
      <c r="J14" s="86">
        <f t="shared" si="5"/>
        <v>0</v>
      </c>
      <c r="K14" s="98"/>
      <c r="O14" s="85"/>
      <c r="P14" s="85"/>
      <c r="Q14" s="85"/>
      <c r="R14" s="85"/>
      <c r="W14" s="85"/>
      <c r="X14" s="86">
        <v>0</v>
      </c>
      <c r="Y14" s="86">
        <f t="shared" si="2"/>
        <v>0</v>
      </c>
      <c r="AA14" s="86">
        <f>SUM(D89:D94)</f>
        <v>0</v>
      </c>
      <c r="AF14" s="86">
        <f t="shared" si="3"/>
        <v>0</v>
      </c>
      <c r="AO14" s="86">
        <f t="shared" si="4"/>
        <v>0</v>
      </c>
    </row>
    <row r="15" spans="1:43" s="86" customFormat="1" x14ac:dyDescent="0.25">
      <c r="A15" s="183" t="s">
        <v>98</v>
      </c>
      <c r="B15" s="96"/>
      <c r="C15" s="110">
        <v>1010202016</v>
      </c>
      <c r="D15" s="157">
        <v>0</v>
      </c>
      <c r="E15" s="97">
        <v>0</v>
      </c>
      <c r="F15" s="97"/>
      <c r="G15" s="97"/>
      <c r="H15" s="97">
        <f t="shared" si="0"/>
        <v>0</v>
      </c>
      <c r="I15" s="97">
        <v>0</v>
      </c>
      <c r="J15" s="86">
        <f t="shared" si="5"/>
        <v>0</v>
      </c>
      <c r="K15" s="98"/>
      <c r="O15" s="85"/>
      <c r="P15" s="85"/>
      <c r="Q15" s="85"/>
      <c r="R15" s="85"/>
      <c r="W15" s="85"/>
      <c r="X15" s="86">
        <v>63600774.859999999</v>
      </c>
      <c r="Y15" s="86">
        <f t="shared" si="2"/>
        <v>-63600774.859999999</v>
      </c>
      <c r="AA15" s="86">
        <f>SUM(AA13:AA14)</f>
        <v>1519697989.1500001</v>
      </c>
      <c r="AF15" s="86">
        <f t="shared" si="3"/>
        <v>0</v>
      </c>
      <c r="AO15" s="86">
        <f t="shared" si="4"/>
        <v>0</v>
      </c>
    </row>
    <row r="16" spans="1:43" s="86" customFormat="1" x14ac:dyDescent="0.25">
      <c r="A16" s="183" t="s">
        <v>99</v>
      </c>
      <c r="B16" s="99"/>
      <c r="C16" s="110">
        <v>1010202024</v>
      </c>
      <c r="D16" s="157">
        <v>220000</v>
      </c>
      <c r="E16" s="97">
        <v>0</v>
      </c>
      <c r="F16" s="97"/>
      <c r="G16" s="97"/>
      <c r="H16" s="97">
        <f t="shared" si="0"/>
        <v>220000</v>
      </c>
      <c r="I16" s="97">
        <v>0</v>
      </c>
      <c r="J16" s="86">
        <f t="shared" si="5"/>
        <v>220000</v>
      </c>
      <c r="K16" s="98"/>
      <c r="O16" s="85"/>
      <c r="P16" s="85"/>
      <c r="Q16" s="85"/>
      <c r="R16" s="85"/>
      <c r="W16" s="85"/>
      <c r="X16" s="86">
        <v>6521429.9299999997</v>
      </c>
      <c r="Y16" s="86">
        <f t="shared" si="2"/>
        <v>-6301429.9299999997</v>
      </c>
      <c r="AF16" s="86">
        <f t="shared" si="3"/>
        <v>220000</v>
      </c>
      <c r="AO16" s="86">
        <f t="shared" si="4"/>
        <v>0</v>
      </c>
    </row>
    <row r="17" spans="1:41" s="86" customFormat="1" ht="31.5" x14ac:dyDescent="0.25">
      <c r="A17" s="183" t="s">
        <v>100</v>
      </c>
      <c r="B17" s="96"/>
      <c r="C17" s="110">
        <v>1010202030</v>
      </c>
      <c r="D17" s="157">
        <v>0</v>
      </c>
      <c r="E17" s="97">
        <v>0</v>
      </c>
      <c r="F17" s="97"/>
      <c r="G17" s="97"/>
      <c r="H17" s="97">
        <f t="shared" si="0"/>
        <v>0</v>
      </c>
      <c r="I17" s="97">
        <v>0</v>
      </c>
      <c r="J17" s="86">
        <f t="shared" si="5"/>
        <v>0</v>
      </c>
      <c r="K17" s="98"/>
      <c r="O17" s="85"/>
      <c r="P17" s="85"/>
      <c r="Q17" s="85"/>
      <c r="R17" s="85"/>
      <c r="W17" s="85"/>
      <c r="X17" s="86">
        <v>-27485939.09</v>
      </c>
      <c r="Y17" s="86">
        <f t="shared" si="2"/>
        <v>27485939.09</v>
      </c>
      <c r="AA17" s="86" t="s">
        <v>529</v>
      </c>
      <c r="AF17" s="86">
        <f t="shared" si="3"/>
        <v>0</v>
      </c>
      <c r="AO17" s="86">
        <f t="shared" si="4"/>
        <v>0</v>
      </c>
    </row>
    <row r="18" spans="1:41" s="86" customFormat="1" ht="16.5" customHeight="1" x14ac:dyDescent="0.25">
      <c r="A18" s="183" t="s">
        <v>4</v>
      </c>
      <c r="B18" s="96"/>
      <c r="C18" s="110">
        <v>1030101000</v>
      </c>
      <c r="D18" s="157">
        <v>0</v>
      </c>
      <c r="E18" s="97">
        <v>0</v>
      </c>
      <c r="F18" s="97"/>
      <c r="G18" s="97"/>
      <c r="H18" s="97">
        <f t="shared" si="0"/>
        <v>0</v>
      </c>
      <c r="I18" s="97">
        <v>0</v>
      </c>
      <c r="J18" s="86">
        <f t="shared" si="5"/>
        <v>0</v>
      </c>
      <c r="K18" s="98"/>
      <c r="O18" s="85"/>
      <c r="P18" s="85"/>
      <c r="Q18" s="85"/>
      <c r="R18" s="85"/>
      <c r="W18" s="85"/>
      <c r="X18" s="86">
        <v>0</v>
      </c>
      <c r="Y18" s="86">
        <f t="shared" si="2"/>
        <v>0</v>
      </c>
      <c r="AA18" s="86">
        <f>SUM(D51:D87)</f>
        <v>276309728.03000003</v>
      </c>
      <c r="AF18" s="86">
        <f t="shared" si="3"/>
        <v>0</v>
      </c>
      <c r="AO18" s="86">
        <f t="shared" si="4"/>
        <v>0</v>
      </c>
    </row>
    <row r="19" spans="1:41" s="86" customFormat="1" ht="16.5" customHeight="1" x14ac:dyDescent="0.25">
      <c r="A19" s="183" t="s">
        <v>385</v>
      </c>
      <c r="B19" s="96"/>
      <c r="C19" s="110">
        <v>1030501000</v>
      </c>
      <c r="D19" s="157">
        <v>0</v>
      </c>
      <c r="E19" s="97">
        <v>0</v>
      </c>
      <c r="F19" s="97"/>
      <c r="G19" s="97"/>
      <c r="H19" s="97">
        <f t="shared" si="0"/>
        <v>0</v>
      </c>
      <c r="I19" s="97">
        <v>0</v>
      </c>
      <c r="J19" s="86">
        <f t="shared" si="5"/>
        <v>0</v>
      </c>
      <c r="K19" s="98"/>
      <c r="O19" s="85"/>
      <c r="P19" s="85"/>
      <c r="Q19" s="85"/>
      <c r="R19" s="85"/>
      <c r="W19" s="85"/>
      <c r="AF19" s="86">
        <f t="shared" si="3"/>
        <v>0</v>
      </c>
      <c r="AO19" s="86">
        <f t="shared" si="4"/>
        <v>0</v>
      </c>
    </row>
    <row r="20" spans="1:41" s="86" customFormat="1" ht="16.5" customHeight="1" x14ac:dyDescent="0.25">
      <c r="A20" s="183" t="s">
        <v>5</v>
      </c>
      <c r="B20" s="96"/>
      <c r="C20" s="110">
        <v>1039902000</v>
      </c>
      <c r="D20" s="157">
        <v>12437.02</v>
      </c>
      <c r="E20" s="97">
        <v>0</v>
      </c>
      <c r="F20" s="97"/>
      <c r="G20" s="97"/>
      <c r="H20" s="97">
        <f t="shared" si="0"/>
        <v>12437.02</v>
      </c>
      <c r="I20" s="97">
        <v>0</v>
      </c>
      <c r="J20" s="86">
        <f t="shared" si="5"/>
        <v>12437.02</v>
      </c>
      <c r="K20" s="98"/>
      <c r="O20" s="85"/>
      <c r="P20" s="85"/>
      <c r="Q20" s="85"/>
      <c r="R20" s="85"/>
      <c r="W20" s="85"/>
      <c r="AO20" s="86">
        <f t="shared" si="4"/>
        <v>0</v>
      </c>
    </row>
    <row r="21" spans="1:41" s="86" customFormat="1" ht="16.5" customHeight="1" x14ac:dyDescent="0.25">
      <c r="A21" s="183" t="s">
        <v>6</v>
      </c>
      <c r="B21" s="96"/>
      <c r="C21" s="110">
        <v>1030199000</v>
      </c>
      <c r="D21" s="157">
        <v>0</v>
      </c>
      <c r="E21" s="97">
        <v>0</v>
      </c>
      <c r="F21" s="97"/>
      <c r="G21" s="97"/>
      <c r="H21" s="97">
        <f t="shared" si="0"/>
        <v>0</v>
      </c>
      <c r="I21" s="97">
        <v>0</v>
      </c>
      <c r="J21" s="86">
        <f t="shared" si="5"/>
        <v>0</v>
      </c>
      <c r="K21" s="98"/>
      <c r="O21" s="85"/>
      <c r="P21" s="85"/>
      <c r="Q21" s="85"/>
      <c r="R21" s="85"/>
      <c r="W21" s="85"/>
      <c r="X21" s="86">
        <v>0</v>
      </c>
      <c r="Y21" s="86">
        <f t="shared" ref="Y21:Y29" si="6">D21-X21</f>
        <v>0</v>
      </c>
      <c r="AA21" s="86">
        <f>SUM(E52:E87)</f>
        <v>67774465.060000002</v>
      </c>
      <c r="AF21" s="86">
        <f t="shared" ref="AF21:AF33" si="7">D21+E21</f>
        <v>0</v>
      </c>
      <c r="AO21" s="86">
        <f t="shared" si="4"/>
        <v>0</v>
      </c>
    </row>
    <row r="22" spans="1:41" s="86" customFormat="1" ht="16.5" customHeight="1" x14ac:dyDescent="0.25">
      <c r="A22" s="183" t="s">
        <v>179</v>
      </c>
      <c r="B22" s="96"/>
      <c r="C22" s="110">
        <v>1010401000</v>
      </c>
      <c r="D22" s="157">
        <v>105347840.52</v>
      </c>
      <c r="E22" s="97">
        <v>0</v>
      </c>
      <c r="F22" s="97"/>
      <c r="G22" s="97"/>
      <c r="H22" s="97">
        <f t="shared" si="0"/>
        <v>105347840.52</v>
      </c>
      <c r="I22" s="97">
        <v>0</v>
      </c>
      <c r="J22" s="86">
        <f t="shared" si="5"/>
        <v>105347840.52</v>
      </c>
      <c r="K22" s="98"/>
      <c r="O22" s="85"/>
      <c r="P22" s="85"/>
      <c r="Q22" s="85"/>
      <c r="R22" s="85"/>
      <c r="W22" s="85"/>
      <c r="X22" s="86">
        <v>0</v>
      </c>
      <c r="Y22" s="86">
        <f t="shared" si="6"/>
        <v>105347840.52</v>
      </c>
      <c r="AA22" s="86">
        <f>AA18-AA21</f>
        <v>208535262.97000003</v>
      </c>
      <c r="AF22" s="86">
        <f t="shared" si="7"/>
        <v>105347840.52</v>
      </c>
      <c r="AO22" s="86">
        <f t="shared" si="4"/>
        <v>0</v>
      </c>
    </row>
    <row r="23" spans="1:41" s="86" customFormat="1" x14ac:dyDescent="0.25">
      <c r="A23" s="183" t="s">
        <v>180</v>
      </c>
      <c r="B23" s="96"/>
      <c r="C23" s="110">
        <v>1010403000</v>
      </c>
      <c r="D23" s="157">
        <v>10020444.93</v>
      </c>
      <c r="E23" s="97">
        <v>0</v>
      </c>
      <c r="F23" s="97"/>
      <c r="G23" s="97"/>
      <c r="H23" s="97">
        <f t="shared" si="0"/>
        <v>10020444.93</v>
      </c>
      <c r="I23" s="97">
        <v>0</v>
      </c>
      <c r="J23" s="86">
        <f t="shared" si="5"/>
        <v>10020444.93</v>
      </c>
      <c r="K23" s="98"/>
      <c r="O23" s="85"/>
      <c r="P23" s="85"/>
      <c r="Q23" s="85"/>
      <c r="R23" s="85"/>
      <c r="W23" s="85"/>
      <c r="X23" s="86">
        <v>0</v>
      </c>
      <c r="Y23" s="86">
        <f t="shared" si="6"/>
        <v>10020444.93</v>
      </c>
      <c r="Z23" s="86" t="s">
        <v>340</v>
      </c>
      <c r="AA23" s="86">
        <f>AA22+AA15</f>
        <v>1728233252.1200001</v>
      </c>
      <c r="AF23" s="86">
        <f t="shared" si="7"/>
        <v>10020444.93</v>
      </c>
      <c r="AO23" s="86">
        <f t="shared" si="4"/>
        <v>0</v>
      </c>
    </row>
    <row r="24" spans="1:41" s="86" customFormat="1" ht="16.5" customHeight="1" x14ac:dyDescent="0.25">
      <c r="A24" s="183" t="s">
        <v>181</v>
      </c>
      <c r="B24" s="96"/>
      <c r="C24" s="110">
        <v>1010406000</v>
      </c>
      <c r="D24" s="157">
        <v>0</v>
      </c>
      <c r="E24" s="97">
        <v>0</v>
      </c>
      <c r="F24" s="97"/>
      <c r="G24" s="97"/>
      <c r="H24" s="97">
        <f t="shared" si="0"/>
        <v>0</v>
      </c>
      <c r="I24" s="97">
        <v>0</v>
      </c>
      <c r="J24" s="86">
        <f t="shared" si="5"/>
        <v>0</v>
      </c>
      <c r="K24" s="98"/>
      <c r="O24" s="85"/>
      <c r="P24" s="85"/>
      <c r="Q24" s="85"/>
      <c r="R24" s="85"/>
      <c r="W24" s="85"/>
      <c r="X24" s="86">
        <v>0</v>
      </c>
      <c r="Y24" s="86">
        <f t="shared" si="6"/>
        <v>0</v>
      </c>
      <c r="AF24" s="86">
        <f t="shared" si="7"/>
        <v>0</v>
      </c>
      <c r="AO24" s="86">
        <f t="shared" si="4"/>
        <v>0</v>
      </c>
    </row>
    <row r="25" spans="1:41" s="86" customFormat="1" x14ac:dyDescent="0.25">
      <c r="A25" s="183" t="s">
        <v>342</v>
      </c>
      <c r="B25" s="96"/>
      <c r="C25" s="110">
        <v>1010407000</v>
      </c>
      <c r="D25" s="157">
        <v>0</v>
      </c>
      <c r="E25" s="97">
        <v>0</v>
      </c>
      <c r="F25" s="97"/>
      <c r="G25" s="97"/>
      <c r="H25" s="97">
        <f t="shared" si="0"/>
        <v>0</v>
      </c>
      <c r="I25" s="97">
        <v>0</v>
      </c>
      <c r="J25" s="86">
        <f t="shared" si="5"/>
        <v>0</v>
      </c>
      <c r="K25" s="98"/>
      <c r="O25" s="85"/>
      <c r="P25" s="85"/>
      <c r="Q25" s="85"/>
      <c r="R25" s="85"/>
      <c r="W25" s="85"/>
      <c r="X25" s="86">
        <v>149939.22</v>
      </c>
      <c r="Y25" s="86">
        <f t="shared" si="6"/>
        <v>-149939.22</v>
      </c>
      <c r="AF25" s="86">
        <f t="shared" si="7"/>
        <v>0</v>
      </c>
      <c r="AO25" s="86">
        <f t="shared" si="4"/>
        <v>0</v>
      </c>
    </row>
    <row r="26" spans="1:41" s="86" customFormat="1" ht="16.5" customHeight="1" x14ac:dyDescent="0.25">
      <c r="A26" s="183" t="s">
        <v>415</v>
      </c>
      <c r="B26" s="96"/>
      <c r="C26" s="110">
        <v>1010408000</v>
      </c>
      <c r="D26" s="157">
        <v>342664.82</v>
      </c>
      <c r="E26" s="97">
        <v>0</v>
      </c>
      <c r="F26" s="97"/>
      <c r="G26" s="97"/>
      <c r="H26" s="97">
        <f t="shared" si="0"/>
        <v>342664.82</v>
      </c>
      <c r="I26" s="97">
        <v>0</v>
      </c>
      <c r="J26" s="86">
        <f t="shared" si="5"/>
        <v>342664.82</v>
      </c>
      <c r="K26" s="98"/>
      <c r="O26" s="85"/>
      <c r="P26" s="85"/>
      <c r="Q26" s="85"/>
      <c r="R26" s="85"/>
      <c r="W26" s="85"/>
      <c r="X26" s="86">
        <v>0</v>
      </c>
      <c r="Y26" s="86">
        <f t="shared" si="6"/>
        <v>342664.82</v>
      </c>
      <c r="AF26" s="86">
        <f t="shared" si="7"/>
        <v>342664.82</v>
      </c>
      <c r="AO26" s="86">
        <f t="shared" si="4"/>
        <v>0</v>
      </c>
    </row>
    <row r="27" spans="1:41" s="86" customFormat="1" x14ac:dyDescent="0.25">
      <c r="A27" s="183" t="s">
        <v>390</v>
      </c>
      <c r="B27" s="96"/>
      <c r="C27" s="110">
        <v>1010409000</v>
      </c>
      <c r="D27" s="157">
        <v>0</v>
      </c>
      <c r="E27" s="97">
        <v>1261168.24</v>
      </c>
      <c r="F27" s="97"/>
      <c r="G27" s="97"/>
      <c r="H27" s="97"/>
      <c r="I27" s="97">
        <f>E27-F27+G27</f>
        <v>1261168.24</v>
      </c>
      <c r="J27" s="86">
        <f t="shared" si="5"/>
        <v>1261168.24</v>
      </c>
      <c r="K27" s="98"/>
      <c r="O27" s="85"/>
      <c r="P27" s="85"/>
      <c r="Q27" s="85"/>
      <c r="R27" s="85"/>
      <c r="W27" s="85"/>
      <c r="X27" s="86">
        <v>734641954.26999998</v>
      </c>
      <c r="Y27" s="86">
        <f t="shared" si="6"/>
        <v>-734641954.26999998</v>
      </c>
      <c r="AF27" s="86">
        <f t="shared" si="7"/>
        <v>1261168.24</v>
      </c>
      <c r="AO27" s="86">
        <f t="shared" si="4"/>
        <v>0</v>
      </c>
    </row>
    <row r="28" spans="1:41" s="86" customFormat="1" ht="16.5" customHeight="1" x14ac:dyDescent="0.25">
      <c r="A28" s="183" t="s">
        <v>242</v>
      </c>
      <c r="B28" s="96"/>
      <c r="C28" s="110">
        <v>1030301000</v>
      </c>
      <c r="D28" s="157">
        <v>0</v>
      </c>
      <c r="E28" s="97">
        <v>0</v>
      </c>
      <c r="F28" s="97"/>
      <c r="G28" s="97"/>
      <c r="H28" s="97">
        <f t="shared" ref="H28:H59" si="8">D28+F28-G28</f>
        <v>0</v>
      </c>
      <c r="I28" s="97">
        <v>0</v>
      </c>
      <c r="J28" s="86">
        <f t="shared" si="5"/>
        <v>0</v>
      </c>
      <c r="K28" s="98"/>
      <c r="O28" s="85"/>
      <c r="P28" s="85"/>
      <c r="Q28" s="85"/>
      <c r="R28" s="85"/>
      <c r="W28" s="85"/>
      <c r="X28" s="86">
        <v>76828.350000000006</v>
      </c>
      <c r="Y28" s="86">
        <f t="shared" si="6"/>
        <v>-76828.350000000006</v>
      </c>
      <c r="AF28" s="86">
        <f t="shared" si="7"/>
        <v>0</v>
      </c>
      <c r="AO28" s="86">
        <f t="shared" si="4"/>
        <v>0</v>
      </c>
    </row>
    <row r="29" spans="1:41" s="86" customFormat="1" x14ac:dyDescent="0.25">
      <c r="A29" s="183" t="s">
        <v>8</v>
      </c>
      <c r="B29" s="96"/>
      <c r="C29" s="110">
        <v>1030302000</v>
      </c>
      <c r="D29" s="157">
        <v>0</v>
      </c>
      <c r="E29" s="97">
        <v>0</v>
      </c>
      <c r="F29" s="97"/>
      <c r="G29" s="97"/>
      <c r="H29" s="97">
        <f t="shared" si="8"/>
        <v>0</v>
      </c>
      <c r="I29" s="97">
        <v>0</v>
      </c>
      <c r="J29" s="86">
        <f t="shared" si="5"/>
        <v>0</v>
      </c>
      <c r="K29" s="98"/>
      <c r="O29" s="85"/>
      <c r="P29" s="85"/>
      <c r="Q29" s="85"/>
      <c r="R29" s="85"/>
      <c r="W29" s="85"/>
      <c r="X29" s="86">
        <v>29922014.02</v>
      </c>
      <c r="Y29" s="86">
        <f t="shared" si="6"/>
        <v>-29922014.02</v>
      </c>
      <c r="AF29" s="86">
        <f t="shared" si="7"/>
        <v>0</v>
      </c>
      <c r="AO29" s="86">
        <f t="shared" si="4"/>
        <v>0</v>
      </c>
    </row>
    <row r="30" spans="1:41" s="86" customFormat="1" x14ac:dyDescent="0.25">
      <c r="A30" s="183" t="s">
        <v>241</v>
      </c>
      <c r="B30" s="96"/>
      <c r="C30" s="110">
        <v>1030303000</v>
      </c>
      <c r="D30" s="157">
        <v>451426417.24000001</v>
      </c>
      <c r="E30" s="97">
        <v>0</v>
      </c>
      <c r="F30" s="436">
        <f>21720897.24+57421847.17-8486.5</f>
        <v>79134257.909999996</v>
      </c>
      <c r="G30" s="97">
        <f>162004993.45+88204993.89+43882772.83+15742312.04+25861508.4+9071341.93+9711410.03+109917.03</f>
        <v>354589249.5999999</v>
      </c>
      <c r="H30" s="97">
        <f t="shared" si="8"/>
        <v>175971425.55000007</v>
      </c>
      <c r="I30" s="97">
        <v>0</v>
      </c>
      <c r="J30" s="86">
        <f t="shared" si="5"/>
        <v>451426417.24000001</v>
      </c>
      <c r="K30" s="98"/>
      <c r="O30" s="85"/>
      <c r="P30" s="85"/>
      <c r="Q30" s="85"/>
      <c r="R30" s="85"/>
      <c r="W30" s="85"/>
      <c r="AF30" s="86">
        <f t="shared" si="7"/>
        <v>451426417.24000001</v>
      </c>
      <c r="AO30" s="86">
        <f t="shared" si="4"/>
        <v>433723507.50999987</v>
      </c>
    </row>
    <row r="31" spans="1:41" s="86" customFormat="1" ht="31.5" x14ac:dyDescent="0.25">
      <c r="A31" s="183" t="s">
        <v>487</v>
      </c>
      <c r="B31" s="99"/>
      <c r="C31" s="110">
        <v>1039903000</v>
      </c>
      <c r="D31" s="157">
        <v>54562085.899999999</v>
      </c>
      <c r="E31" s="97">
        <v>0</v>
      </c>
      <c r="F31" s="97">
        <v>314445.40000000002</v>
      </c>
      <c r="G31" s="97">
        <f>11024.93+314445.4+26113506.54</f>
        <v>26438976.869999997</v>
      </c>
      <c r="H31" s="97">
        <f t="shared" si="8"/>
        <v>28437554.43</v>
      </c>
      <c r="I31" s="97">
        <v>0</v>
      </c>
      <c r="J31" s="86">
        <f t="shared" si="5"/>
        <v>54562085.899999999</v>
      </c>
      <c r="K31" s="98"/>
      <c r="O31" s="85"/>
      <c r="P31" s="85"/>
      <c r="Q31" s="85"/>
      <c r="R31" s="85"/>
      <c r="W31" s="85"/>
      <c r="X31" s="86">
        <v>20942.849999999999</v>
      </c>
      <c r="Y31" s="86">
        <f>D31-X31</f>
        <v>54541143.049999997</v>
      </c>
      <c r="AF31" s="86">
        <f t="shared" si="7"/>
        <v>54562085.899999999</v>
      </c>
      <c r="AO31" s="86">
        <f t="shared" si="4"/>
        <v>26753422.269999996</v>
      </c>
    </row>
    <row r="32" spans="1:41" s="86" customFormat="1" x14ac:dyDescent="0.25">
      <c r="A32" s="183" t="s">
        <v>11</v>
      </c>
      <c r="B32" s="99"/>
      <c r="C32" s="110">
        <v>1030405000</v>
      </c>
      <c r="D32" s="157">
        <v>0</v>
      </c>
      <c r="E32" s="97">
        <v>0</v>
      </c>
      <c r="F32" s="97"/>
      <c r="G32" s="97"/>
      <c r="H32" s="97">
        <f t="shared" si="8"/>
        <v>0</v>
      </c>
      <c r="I32" s="97">
        <v>0</v>
      </c>
      <c r="J32" s="86">
        <f t="shared" si="5"/>
        <v>0</v>
      </c>
      <c r="K32" s="98"/>
      <c r="O32" s="85"/>
      <c r="P32" s="85"/>
      <c r="Q32" s="85"/>
      <c r="R32" s="85"/>
      <c r="W32" s="85"/>
      <c r="X32" s="86">
        <v>12437.02</v>
      </c>
      <c r="Y32" s="86">
        <f>D32-X32</f>
        <v>-12437.02</v>
      </c>
      <c r="AF32" s="86">
        <f t="shared" si="7"/>
        <v>0</v>
      </c>
      <c r="AO32" s="86">
        <f t="shared" si="4"/>
        <v>0</v>
      </c>
    </row>
    <row r="33" spans="1:43" s="86" customFormat="1" ht="15" customHeight="1" x14ac:dyDescent="0.25">
      <c r="A33" s="183" t="s">
        <v>12</v>
      </c>
      <c r="B33" s="96"/>
      <c r="C33" s="110">
        <v>1990104000</v>
      </c>
      <c r="D33" s="157">
        <v>0</v>
      </c>
      <c r="E33" s="97">
        <v>0</v>
      </c>
      <c r="F33" s="97"/>
      <c r="G33" s="97"/>
      <c r="H33" s="97">
        <f t="shared" si="8"/>
        <v>0</v>
      </c>
      <c r="I33" s="97">
        <v>0</v>
      </c>
      <c r="J33" s="86">
        <f t="shared" si="5"/>
        <v>0</v>
      </c>
      <c r="K33" s="98"/>
      <c r="O33" s="85"/>
      <c r="P33" s="85"/>
      <c r="Q33" s="85"/>
      <c r="R33" s="85"/>
      <c r="W33" s="85"/>
      <c r="X33" s="86">
        <v>65380.03</v>
      </c>
      <c r="Y33" s="86">
        <f>D33-X33</f>
        <v>-65380.03</v>
      </c>
      <c r="AF33" s="86">
        <f t="shared" si="7"/>
        <v>0</v>
      </c>
      <c r="AN33" s="86">
        <v>33232401.710000001</v>
      </c>
      <c r="AO33" s="86">
        <f t="shared" si="4"/>
        <v>0</v>
      </c>
    </row>
    <row r="34" spans="1:43" s="86" customFormat="1" x14ac:dyDescent="0.25">
      <c r="A34" s="183" t="s">
        <v>13</v>
      </c>
      <c r="B34" s="96"/>
      <c r="C34" s="110">
        <v>1039999000</v>
      </c>
      <c r="D34" s="157">
        <v>1218.3499999999999</v>
      </c>
      <c r="E34" s="97">
        <v>0</v>
      </c>
      <c r="F34" s="97"/>
      <c r="G34" s="97"/>
      <c r="H34" s="97">
        <f t="shared" si="8"/>
        <v>1218.3499999999999</v>
      </c>
      <c r="I34" s="97">
        <v>0</v>
      </c>
      <c r="J34" s="86">
        <f t="shared" si="5"/>
        <v>1218.3499999999999</v>
      </c>
      <c r="K34" s="98"/>
      <c r="O34" s="85"/>
      <c r="P34" s="85"/>
      <c r="Q34" s="85"/>
      <c r="R34" s="85"/>
      <c r="W34" s="85"/>
      <c r="AO34" s="86">
        <f t="shared" si="4"/>
        <v>0</v>
      </c>
    </row>
    <row r="35" spans="1:43" s="86" customFormat="1" x14ac:dyDescent="0.25">
      <c r="A35" s="183" t="s">
        <v>238</v>
      </c>
      <c r="B35" s="96"/>
      <c r="C35" s="110">
        <v>1040299000</v>
      </c>
      <c r="D35" s="157">
        <v>490871356.08999997</v>
      </c>
      <c r="E35" s="97">
        <v>0</v>
      </c>
      <c r="F35" s="97"/>
      <c r="G35" s="97">
        <f>'[19]FC1 2024'!$O$32+116598832.78+61776999.38-45487819.02</f>
        <v>490871356.08999991</v>
      </c>
      <c r="H35" s="97">
        <f t="shared" si="8"/>
        <v>0</v>
      </c>
      <c r="I35" s="97">
        <v>0</v>
      </c>
      <c r="J35" s="86">
        <f t="shared" si="5"/>
        <v>490871356.08999997</v>
      </c>
      <c r="K35" s="98"/>
      <c r="O35" s="85"/>
      <c r="P35" s="85"/>
      <c r="Q35" s="85"/>
      <c r="R35" s="85"/>
      <c r="W35" s="85"/>
      <c r="X35" s="86">
        <v>389015467.5</v>
      </c>
      <c r="Y35" s="86">
        <f t="shared" ref="Y35:Y54" si="9">D35-X35</f>
        <v>101855888.58999997</v>
      </c>
      <c r="AF35" s="86">
        <f t="shared" ref="AF35:AF54" si="10">D35+E35</f>
        <v>490871356.08999997</v>
      </c>
      <c r="AO35" s="86">
        <f t="shared" si="4"/>
        <v>490871356.08999991</v>
      </c>
    </row>
    <row r="36" spans="1:43" s="306" customFormat="1" x14ac:dyDescent="0.25">
      <c r="A36" s="349" t="s">
        <v>240</v>
      </c>
      <c r="B36" s="96"/>
      <c r="C36" s="96">
        <v>1040202000</v>
      </c>
      <c r="D36" s="157">
        <v>317294773.91000003</v>
      </c>
      <c r="E36" s="97">
        <v>0</v>
      </c>
      <c r="F36" s="350"/>
      <c r="G36" s="350">
        <f>'[19]FC1 2024'!$O$33+31766950.56+4055873.9+6310863.15+1457377.2+526306.2+3684801.6+115240</f>
        <v>274599996.59000003</v>
      </c>
      <c r="H36" s="97">
        <f t="shared" si="8"/>
        <v>42694777.319999993</v>
      </c>
      <c r="I36" s="350">
        <v>0</v>
      </c>
      <c r="J36" s="306">
        <f t="shared" si="5"/>
        <v>317294773.91000003</v>
      </c>
      <c r="K36" s="303"/>
      <c r="O36" s="302"/>
      <c r="P36" s="302"/>
      <c r="Q36" s="302"/>
      <c r="R36" s="302"/>
      <c r="W36" s="302"/>
      <c r="X36" s="306">
        <v>8079907.1100000003</v>
      </c>
      <c r="Y36" s="306">
        <f t="shared" si="9"/>
        <v>309214866.80000001</v>
      </c>
      <c r="AF36" s="306">
        <f t="shared" si="10"/>
        <v>317294773.91000003</v>
      </c>
      <c r="AO36" s="86">
        <f t="shared" si="4"/>
        <v>274599996.59000003</v>
      </c>
    </row>
    <row r="37" spans="1:43" s="86" customFormat="1" x14ac:dyDescent="0.25">
      <c r="A37" s="183" t="s">
        <v>239</v>
      </c>
      <c r="B37" s="96"/>
      <c r="C37" s="110">
        <v>1040204000</v>
      </c>
      <c r="D37" s="157">
        <v>79220</v>
      </c>
      <c r="E37" s="97">
        <v>0</v>
      </c>
      <c r="F37" s="97"/>
      <c r="G37" s="97"/>
      <c r="H37" s="97">
        <f t="shared" si="8"/>
        <v>79220</v>
      </c>
      <c r="I37" s="97">
        <v>0</v>
      </c>
      <c r="J37" s="86">
        <f t="shared" si="5"/>
        <v>79220</v>
      </c>
      <c r="K37" s="98"/>
      <c r="O37" s="85"/>
      <c r="P37" s="85"/>
      <c r="Q37" s="85"/>
      <c r="R37" s="85"/>
      <c r="W37" s="85"/>
      <c r="X37" s="86">
        <v>202395867.30000001</v>
      </c>
      <c r="Y37" s="86">
        <f t="shared" si="9"/>
        <v>-202316647.30000001</v>
      </c>
      <c r="AF37" s="86">
        <f t="shared" si="10"/>
        <v>79220</v>
      </c>
      <c r="AO37" s="86">
        <f t="shared" si="4"/>
        <v>0</v>
      </c>
    </row>
    <row r="38" spans="1:43" s="274" customFormat="1" x14ac:dyDescent="0.25">
      <c r="A38" s="434" t="s">
        <v>14</v>
      </c>
      <c r="B38" s="142"/>
      <c r="C38" s="132">
        <v>1040401000</v>
      </c>
      <c r="D38" s="435">
        <v>7050577.1299999999</v>
      </c>
      <c r="E38" s="436">
        <v>0</v>
      </c>
      <c r="F38" s="436"/>
      <c r="G38" s="436">
        <f>'[19]FC1 2024'!$O$31+1085020.68+244871.33-53737.79+3478623.85-2417441.01</f>
        <v>7050577.1300000008</v>
      </c>
      <c r="H38" s="436">
        <f t="shared" si="8"/>
        <v>0</v>
      </c>
      <c r="I38" s="436">
        <v>0</v>
      </c>
      <c r="J38" s="274">
        <f t="shared" si="5"/>
        <v>7050577.1299999999</v>
      </c>
      <c r="K38" s="437"/>
      <c r="O38" s="100"/>
      <c r="P38" s="100"/>
      <c r="Q38" s="100"/>
      <c r="R38" s="100"/>
      <c r="W38" s="100"/>
      <c r="X38" s="274">
        <v>479717.3</v>
      </c>
      <c r="Y38" s="274">
        <f t="shared" si="9"/>
        <v>6570859.8300000001</v>
      </c>
      <c r="AF38" s="274">
        <f t="shared" si="10"/>
        <v>7050577.1299999999</v>
      </c>
      <c r="AO38" s="274">
        <f t="shared" si="4"/>
        <v>7050577.1300000008</v>
      </c>
      <c r="AQ38" s="274">
        <f>G38-D38</f>
        <v>0</v>
      </c>
    </row>
    <row r="39" spans="1:43" s="86" customFormat="1" x14ac:dyDescent="0.25">
      <c r="A39" s="183" t="s">
        <v>15</v>
      </c>
      <c r="B39" s="96"/>
      <c r="C39" s="110">
        <v>1040405000</v>
      </c>
      <c r="D39" s="157">
        <v>9367004.7599999998</v>
      </c>
      <c r="E39" s="97">
        <v>0</v>
      </c>
      <c r="F39" s="97"/>
      <c r="G39" s="97">
        <f>'[19]FC1 2024'!$O$43+1580974.63</f>
        <v>2513747.46</v>
      </c>
      <c r="H39" s="97">
        <f t="shared" si="8"/>
        <v>6853257.2999999998</v>
      </c>
      <c r="I39" s="97">
        <v>0</v>
      </c>
      <c r="J39" s="86">
        <f t="shared" si="5"/>
        <v>9367004.7599999998</v>
      </c>
      <c r="K39" s="98"/>
      <c r="O39" s="85"/>
      <c r="P39" s="85"/>
      <c r="Q39" s="85"/>
      <c r="R39" s="85"/>
      <c r="W39" s="85"/>
      <c r="X39" s="86">
        <v>15695</v>
      </c>
      <c r="Y39" s="86">
        <f t="shared" si="9"/>
        <v>9351309.7599999998</v>
      </c>
      <c r="AF39" s="86">
        <f t="shared" si="10"/>
        <v>9367004.7599999998</v>
      </c>
      <c r="AO39" s="86">
        <f t="shared" si="4"/>
        <v>2513747.46</v>
      </c>
    </row>
    <row r="40" spans="1:43" s="86" customFormat="1" x14ac:dyDescent="0.25">
      <c r="A40" s="183" t="s">
        <v>16</v>
      </c>
      <c r="B40" s="96"/>
      <c r="C40" s="110">
        <v>1040406000</v>
      </c>
      <c r="D40" s="157">
        <v>245837.05</v>
      </c>
      <c r="E40" s="97">
        <v>0</v>
      </c>
      <c r="F40" s="97"/>
      <c r="G40" s="97">
        <f>'[19]FC1 2024'!$O$41+1812.29</f>
        <v>245837.05000000002</v>
      </c>
      <c r="H40" s="97">
        <f t="shared" si="8"/>
        <v>0</v>
      </c>
      <c r="I40" s="97">
        <v>0</v>
      </c>
      <c r="J40" s="86">
        <f t="shared" si="5"/>
        <v>245837.05</v>
      </c>
      <c r="K40" s="98"/>
      <c r="O40" s="85"/>
      <c r="P40" s="85"/>
      <c r="Q40" s="85"/>
      <c r="R40" s="85"/>
      <c r="W40" s="85"/>
      <c r="X40" s="86">
        <v>53260.55</v>
      </c>
      <c r="Y40" s="86">
        <f t="shared" si="9"/>
        <v>192576.5</v>
      </c>
      <c r="AF40" s="86">
        <f t="shared" si="10"/>
        <v>245837.05</v>
      </c>
      <c r="AO40" s="86">
        <f t="shared" si="4"/>
        <v>245837.05000000002</v>
      </c>
    </row>
    <row r="41" spans="1:43" s="86" customFormat="1" x14ac:dyDescent="0.25">
      <c r="A41" s="183" t="s">
        <v>377</v>
      </c>
      <c r="B41" s="96"/>
      <c r="C41" s="110">
        <v>1040407000</v>
      </c>
      <c r="D41" s="157">
        <v>396886.33</v>
      </c>
      <c r="E41" s="97">
        <v>0</v>
      </c>
      <c r="F41" s="97"/>
      <c r="G41" s="97">
        <f>'[19]FC1 2024'!$O$65+84999.75</f>
        <v>133184.75</v>
      </c>
      <c r="H41" s="97">
        <f t="shared" si="8"/>
        <v>263701.58</v>
      </c>
      <c r="I41" s="97">
        <v>0</v>
      </c>
      <c r="J41" s="86">
        <f t="shared" si="5"/>
        <v>396886.33</v>
      </c>
      <c r="K41" s="98" t="e">
        <f>SUM(#REF!)</f>
        <v>#REF!</v>
      </c>
      <c r="O41" s="85"/>
      <c r="P41" s="85"/>
      <c r="Q41" s="85"/>
      <c r="R41" s="85"/>
      <c r="W41" s="85"/>
      <c r="X41" s="86">
        <v>462000.63</v>
      </c>
      <c r="Y41" s="86">
        <f t="shared" si="9"/>
        <v>-65114.299999999988</v>
      </c>
      <c r="AF41" s="86">
        <f t="shared" si="10"/>
        <v>396886.33</v>
      </c>
      <c r="AO41" s="86">
        <f t="shared" si="4"/>
        <v>133184.75</v>
      </c>
    </row>
    <row r="42" spans="1:43" s="86" customFormat="1" ht="16.5" customHeight="1" x14ac:dyDescent="0.25">
      <c r="A42" s="183" t="s">
        <v>237</v>
      </c>
      <c r="B42" s="96"/>
      <c r="C42" s="110">
        <v>1040408000</v>
      </c>
      <c r="D42" s="157">
        <v>75000</v>
      </c>
      <c r="E42" s="97">
        <v>0</v>
      </c>
      <c r="F42" s="97"/>
      <c r="G42" s="97"/>
      <c r="H42" s="97">
        <f t="shared" si="8"/>
        <v>75000</v>
      </c>
      <c r="I42" s="97">
        <v>0</v>
      </c>
      <c r="J42" s="86">
        <f t="shared" si="5"/>
        <v>75000</v>
      </c>
      <c r="K42" s="98"/>
      <c r="O42" s="85"/>
      <c r="P42" s="85"/>
      <c r="Q42" s="85"/>
      <c r="R42" s="85"/>
      <c r="W42" s="85"/>
      <c r="X42" s="86">
        <v>3908623.28</v>
      </c>
      <c r="Y42" s="86">
        <f t="shared" si="9"/>
        <v>-3833623.28</v>
      </c>
      <c r="AF42" s="86">
        <f t="shared" si="10"/>
        <v>75000</v>
      </c>
      <c r="AO42" s="86">
        <f t="shared" si="4"/>
        <v>0</v>
      </c>
    </row>
    <row r="43" spans="1:43" s="86" customFormat="1" x14ac:dyDescent="0.25">
      <c r="A43" s="183" t="s">
        <v>538</v>
      </c>
      <c r="B43" s="96"/>
      <c r="C43" s="110">
        <v>1040499000</v>
      </c>
      <c r="D43" s="157">
        <v>4352734</v>
      </c>
      <c r="E43" s="97">
        <v>0</v>
      </c>
      <c r="F43" s="97"/>
      <c r="G43" s="97">
        <f>'[19]FC1 2024'!$O$44+433909.45+181730+678562.05</f>
        <v>2005580.03</v>
      </c>
      <c r="H43" s="97">
        <f t="shared" si="8"/>
        <v>2347153.9699999997</v>
      </c>
      <c r="I43" s="97">
        <v>0</v>
      </c>
      <c r="J43" s="86">
        <f t="shared" si="5"/>
        <v>4352734</v>
      </c>
      <c r="K43" s="98"/>
      <c r="O43" s="85"/>
      <c r="P43" s="85"/>
      <c r="Q43" s="85"/>
      <c r="R43" s="85"/>
      <c r="W43" s="85"/>
      <c r="X43" s="86">
        <v>0</v>
      </c>
      <c r="Y43" s="86">
        <f t="shared" si="9"/>
        <v>4352734</v>
      </c>
      <c r="AF43" s="86">
        <f t="shared" si="10"/>
        <v>4352734</v>
      </c>
      <c r="AO43" s="86">
        <f t="shared" si="4"/>
        <v>2005580.03</v>
      </c>
    </row>
    <row r="44" spans="1:43" s="86" customFormat="1" x14ac:dyDescent="0.25">
      <c r="A44" s="183" t="s">
        <v>18</v>
      </c>
      <c r="B44" s="96"/>
      <c r="C44" s="110">
        <v>1040413000</v>
      </c>
      <c r="D44" s="157">
        <v>0</v>
      </c>
      <c r="E44" s="97">
        <v>0</v>
      </c>
      <c r="F44" s="97"/>
      <c r="G44" s="97"/>
      <c r="H44" s="97">
        <f t="shared" si="8"/>
        <v>0</v>
      </c>
      <c r="I44" s="97">
        <v>0</v>
      </c>
      <c r="J44" s="86">
        <f t="shared" si="5"/>
        <v>0</v>
      </c>
      <c r="K44" s="98"/>
      <c r="M44" s="86">
        <v>102342794.58999994</v>
      </c>
      <c r="N44" s="86">
        <f>K44-M44</f>
        <v>-102342794.58999994</v>
      </c>
      <c r="O44" s="85"/>
      <c r="P44" s="85"/>
      <c r="Q44" s="85"/>
      <c r="R44" s="85"/>
      <c r="T44" s="86">
        <v>32500</v>
      </c>
      <c r="U44" s="86" t="e">
        <f>#REF!-T44</f>
        <v>#REF!</v>
      </c>
      <c r="W44" s="85"/>
      <c r="X44" s="86">
        <v>572752.5</v>
      </c>
      <c r="Y44" s="86">
        <f t="shared" si="9"/>
        <v>-572752.5</v>
      </c>
      <c r="AF44" s="86">
        <f t="shared" si="10"/>
        <v>0</v>
      </c>
      <c r="AO44" s="86">
        <f t="shared" si="4"/>
        <v>0</v>
      </c>
    </row>
    <row r="45" spans="1:43" s="86" customFormat="1" ht="31.5" customHeight="1" x14ac:dyDescent="0.25">
      <c r="A45" s="183" t="s">
        <v>344</v>
      </c>
      <c r="B45" s="96"/>
      <c r="C45" s="110">
        <v>1040501000</v>
      </c>
      <c r="D45" s="157">
        <v>224600</v>
      </c>
      <c r="E45" s="97">
        <v>0</v>
      </c>
      <c r="F45" s="97"/>
      <c r="G45" s="97">
        <v>59670</v>
      </c>
      <c r="H45" s="97">
        <f t="shared" si="8"/>
        <v>164930</v>
      </c>
      <c r="I45" s="97">
        <v>0</v>
      </c>
      <c r="J45" s="86">
        <f t="shared" si="5"/>
        <v>224600</v>
      </c>
      <c r="K45" s="98"/>
      <c r="O45" s="85"/>
      <c r="Q45" s="85"/>
      <c r="R45" s="85"/>
      <c r="W45" s="85"/>
      <c r="X45" s="86">
        <v>1494542.39</v>
      </c>
      <c r="Y45" s="86">
        <f t="shared" si="9"/>
        <v>-1269942.3899999999</v>
      </c>
      <c r="AF45" s="86">
        <f t="shared" si="10"/>
        <v>224600</v>
      </c>
      <c r="AO45" s="86">
        <f t="shared" si="4"/>
        <v>59670</v>
      </c>
    </row>
    <row r="46" spans="1:43" s="306" customFormat="1" x14ac:dyDescent="0.25">
      <c r="A46" s="349" t="s">
        <v>345</v>
      </c>
      <c r="B46" s="96"/>
      <c r="C46" s="96">
        <v>1040502000</v>
      </c>
      <c r="D46" s="157">
        <v>523215</v>
      </c>
      <c r="E46" s="97">
        <v>0</v>
      </c>
      <c r="F46" s="350"/>
      <c r="G46" s="350">
        <v>155946</v>
      </c>
      <c r="H46" s="350">
        <f t="shared" si="8"/>
        <v>367269</v>
      </c>
      <c r="I46" s="350">
        <v>0</v>
      </c>
      <c r="J46" s="306">
        <f t="shared" si="5"/>
        <v>523215</v>
      </c>
      <c r="K46" s="303"/>
      <c r="O46" s="302"/>
      <c r="Q46" s="302"/>
      <c r="R46" s="302"/>
      <c r="W46" s="302"/>
      <c r="X46" s="306">
        <v>0</v>
      </c>
      <c r="Y46" s="306">
        <f t="shared" si="9"/>
        <v>523215</v>
      </c>
      <c r="AF46" s="306">
        <f t="shared" si="10"/>
        <v>523215</v>
      </c>
      <c r="AO46" s="86">
        <f t="shared" si="4"/>
        <v>155946</v>
      </c>
    </row>
    <row r="47" spans="1:43" s="86" customFormat="1" ht="39" customHeight="1" x14ac:dyDescent="0.25">
      <c r="A47" s="183" t="s">
        <v>346</v>
      </c>
      <c r="B47" s="96"/>
      <c r="C47" s="110">
        <v>1040503000</v>
      </c>
      <c r="D47" s="157">
        <v>1156554.42</v>
      </c>
      <c r="E47" s="97">
        <v>0</v>
      </c>
      <c r="F47" s="97"/>
      <c r="G47" s="97">
        <f>'[19]FC1 2024'!$O$57+128315.97</f>
        <v>1125704.42</v>
      </c>
      <c r="H47" s="97">
        <f t="shared" si="8"/>
        <v>30850</v>
      </c>
      <c r="I47" s="97">
        <v>0</v>
      </c>
      <c r="J47" s="86">
        <f t="shared" si="5"/>
        <v>1156554.42</v>
      </c>
      <c r="K47" s="98"/>
      <c r="O47" s="85"/>
      <c r="Q47" s="85"/>
      <c r="R47" s="85"/>
      <c r="W47" s="85"/>
      <c r="X47" s="86">
        <v>0</v>
      </c>
      <c r="Y47" s="86">
        <f t="shared" si="9"/>
        <v>1156554.42</v>
      </c>
      <c r="AF47" s="86">
        <f t="shared" si="10"/>
        <v>1156554.42</v>
      </c>
      <c r="AO47" s="86">
        <f t="shared" si="4"/>
        <v>1125704.42</v>
      </c>
    </row>
    <row r="48" spans="1:43" s="86" customFormat="1" x14ac:dyDescent="0.25">
      <c r="A48" s="183" t="s">
        <v>347</v>
      </c>
      <c r="B48" s="96"/>
      <c r="C48" s="110">
        <v>1040510000</v>
      </c>
      <c r="D48" s="157">
        <v>79093</v>
      </c>
      <c r="E48" s="97">
        <v>0</v>
      </c>
      <c r="F48" s="97"/>
      <c r="G48" s="97">
        <f>'[19]FC1 2024'!$O$70+22557-5870</f>
        <v>79093</v>
      </c>
      <c r="H48" s="97">
        <f t="shared" si="8"/>
        <v>0</v>
      </c>
      <c r="I48" s="97">
        <v>0</v>
      </c>
      <c r="J48" s="86">
        <f t="shared" si="5"/>
        <v>79093</v>
      </c>
      <c r="K48" s="98"/>
      <c r="O48" s="85"/>
      <c r="Q48" s="85"/>
      <c r="R48" s="85"/>
      <c r="W48" s="85"/>
      <c r="X48" s="86">
        <v>103090</v>
      </c>
      <c r="Y48" s="86">
        <f t="shared" si="9"/>
        <v>-23997</v>
      </c>
      <c r="AF48" s="86">
        <f t="shared" si="10"/>
        <v>79093</v>
      </c>
      <c r="AO48" s="86">
        <f t="shared" si="4"/>
        <v>79093</v>
      </c>
    </row>
    <row r="49" spans="1:41" s="86" customFormat="1" x14ac:dyDescent="0.25">
      <c r="A49" s="183" t="s">
        <v>348</v>
      </c>
      <c r="B49" s="99"/>
      <c r="C49" s="110">
        <v>1040512000</v>
      </c>
      <c r="D49" s="157">
        <v>53313</v>
      </c>
      <c r="E49" s="97">
        <v>0</v>
      </c>
      <c r="F49" s="97"/>
      <c r="G49" s="97">
        <f>53313</f>
        <v>53313</v>
      </c>
      <c r="H49" s="97">
        <f t="shared" si="8"/>
        <v>0</v>
      </c>
      <c r="I49" s="97">
        <v>0</v>
      </c>
      <c r="J49" s="86">
        <f t="shared" si="5"/>
        <v>53313</v>
      </c>
      <c r="K49" s="98"/>
      <c r="O49" s="85"/>
      <c r="Q49" s="85"/>
      <c r="R49" s="85"/>
      <c r="W49" s="85"/>
      <c r="X49" s="86">
        <v>375978</v>
      </c>
      <c r="Y49" s="86">
        <f t="shared" si="9"/>
        <v>-322665</v>
      </c>
      <c r="AF49" s="86">
        <f t="shared" si="10"/>
        <v>53313</v>
      </c>
      <c r="AO49" s="86">
        <f t="shared" si="4"/>
        <v>53313</v>
      </c>
    </row>
    <row r="50" spans="1:41" s="86" customFormat="1" x14ac:dyDescent="0.25">
      <c r="A50" s="183" t="s">
        <v>349</v>
      </c>
      <c r="B50" s="96"/>
      <c r="C50" s="110">
        <v>1040513000</v>
      </c>
      <c r="D50" s="157">
        <v>0</v>
      </c>
      <c r="E50" s="97">
        <v>0</v>
      </c>
      <c r="F50" s="97"/>
      <c r="G50" s="97"/>
      <c r="H50" s="97">
        <f t="shared" si="8"/>
        <v>0</v>
      </c>
      <c r="I50" s="97">
        <v>0</v>
      </c>
      <c r="J50" s="86">
        <f t="shared" si="5"/>
        <v>0</v>
      </c>
      <c r="K50" s="98">
        <f>SUM(D16:E16)</f>
        <v>220000</v>
      </c>
      <c r="O50" s="85"/>
      <c r="Q50" s="85"/>
      <c r="R50" s="85"/>
      <c r="W50" s="85"/>
      <c r="X50" s="86">
        <v>1882232</v>
      </c>
      <c r="Y50" s="86">
        <f t="shared" si="9"/>
        <v>-1882232</v>
      </c>
      <c r="AF50" s="86">
        <f t="shared" si="10"/>
        <v>0</v>
      </c>
      <c r="AO50" s="86">
        <f t="shared" si="4"/>
        <v>0</v>
      </c>
    </row>
    <row r="51" spans="1:41" s="86" customFormat="1" x14ac:dyDescent="0.25">
      <c r="A51" s="183" t="s">
        <v>488</v>
      </c>
      <c r="B51" s="96"/>
      <c r="C51" s="110">
        <v>1040599000</v>
      </c>
      <c r="D51" s="157">
        <v>146821.5</v>
      </c>
      <c r="E51" s="97">
        <v>0</v>
      </c>
      <c r="F51" s="97">
        <f>'[19]FC1 2024'!$N$82</f>
        <v>240785</v>
      </c>
      <c r="G51" s="97">
        <f>56300+5870</f>
        <v>62170</v>
      </c>
      <c r="H51" s="97">
        <f t="shared" si="8"/>
        <v>325436.5</v>
      </c>
      <c r="I51" s="97">
        <v>0</v>
      </c>
      <c r="J51" s="86">
        <f t="shared" si="5"/>
        <v>146821.5</v>
      </c>
      <c r="K51" s="98">
        <f>SUM(D11:E11)</f>
        <v>0</v>
      </c>
      <c r="O51" s="85"/>
      <c r="Q51" s="85"/>
      <c r="R51" s="85"/>
      <c r="W51" s="85"/>
      <c r="X51" s="86">
        <v>635736.80000000005</v>
      </c>
      <c r="Y51" s="86">
        <f t="shared" si="9"/>
        <v>-488915.30000000005</v>
      </c>
      <c r="AF51" s="86">
        <f t="shared" si="10"/>
        <v>146821.5</v>
      </c>
      <c r="AO51" s="86">
        <f t="shared" si="4"/>
        <v>302955</v>
      </c>
    </row>
    <row r="52" spans="1:41" s="86" customFormat="1" ht="16.5" customHeight="1" x14ac:dyDescent="0.25">
      <c r="A52" s="183" t="s">
        <v>350</v>
      </c>
      <c r="B52" s="96"/>
      <c r="C52" s="110">
        <v>1040601000</v>
      </c>
      <c r="D52" s="157">
        <v>1135716.25</v>
      </c>
      <c r="E52" s="97">
        <v>0</v>
      </c>
      <c r="F52" s="97"/>
      <c r="G52" s="97">
        <f>'[19]FC1 2024'!$O$63+102567</f>
        <v>935194</v>
      </c>
      <c r="H52" s="97">
        <f t="shared" si="8"/>
        <v>200522.25</v>
      </c>
      <c r="I52" s="97">
        <v>0</v>
      </c>
      <c r="J52" s="86">
        <f t="shared" si="5"/>
        <v>1135716.25</v>
      </c>
      <c r="K52" s="98">
        <f>SUM(D10:E10)</f>
        <v>34448915.68</v>
      </c>
      <c r="O52" s="85"/>
      <c r="P52" s="85"/>
      <c r="Q52" s="85"/>
      <c r="R52" s="85"/>
      <c r="S52" s="86">
        <v>1163106.7</v>
      </c>
      <c r="T52" s="86">
        <v>1948000</v>
      </c>
      <c r="U52" s="86">
        <f>D12+S52-T52+349400</f>
        <v>30205306.699999999</v>
      </c>
      <c r="W52" s="85"/>
      <c r="X52" s="86">
        <v>13755000</v>
      </c>
      <c r="Y52" s="86">
        <f t="shared" si="9"/>
        <v>-12619283.75</v>
      </c>
      <c r="AF52" s="86">
        <f t="shared" si="10"/>
        <v>1135716.25</v>
      </c>
      <c r="AO52" s="86">
        <f t="shared" si="4"/>
        <v>935194</v>
      </c>
    </row>
    <row r="53" spans="1:41" s="86" customFormat="1" ht="16.5" customHeight="1" x14ac:dyDescent="0.25">
      <c r="A53" s="183" t="s">
        <v>367</v>
      </c>
      <c r="B53" s="96"/>
      <c r="C53" s="110">
        <v>1040507000</v>
      </c>
      <c r="D53" s="157">
        <v>0</v>
      </c>
      <c r="E53" s="97">
        <v>0</v>
      </c>
      <c r="F53" s="97"/>
      <c r="G53" s="97"/>
      <c r="H53" s="97">
        <f t="shared" si="8"/>
        <v>0</v>
      </c>
      <c r="I53" s="97">
        <v>0</v>
      </c>
      <c r="J53" s="86">
        <f t="shared" si="5"/>
        <v>0</v>
      </c>
      <c r="K53" s="98"/>
      <c r="O53" s="85"/>
      <c r="P53" s="85"/>
      <c r="Q53" s="85"/>
      <c r="R53" s="85"/>
      <c r="W53" s="85"/>
      <c r="X53" s="86">
        <v>699000</v>
      </c>
      <c r="Y53" s="86">
        <f t="shared" si="9"/>
        <v>-699000</v>
      </c>
      <c r="AF53" s="86">
        <f t="shared" si="10"/>
        <v>0</v>
      </c>
      <c r="AO53" s="86">
        <f t="shared" si="4"/>
        <v>0</v>
      </c>
    </row>
    <row r="54" spans="1:41" s="86" customFormat="1" x14ac:dyDescent="0.25">
      <c r="A54" s="183" t="s">
        <v>19</v>
      </c>
      <c r="B54" s="96"/>
      <c r="C54" s="110">
        <v>1990299000</v>
      </c>
      <c r="D54" s="157">
        <v>0</v>
      </c>
      <c r="E54" s="97">
        <v>0</v>
      </c>
      <c r="F54" s="97"/>
      <c r="G54" s="97"/>
      <c r="H54" s="97">
        <f t="shared" si="8"/>
        <v>0</v>
      </c>
      <c r="I54" s="97">
        <f>E54-F54+G54</f>
        <v>0</v>
      </c>
      <c r="J54" s="86">
        <f t="shared" si="5"/>
        <v>0</v>
      </c>
      <c r="K54" s="98"/>
      <c r="M54" s="86" t="e">
        <f>SUM(D10,#REF!,D17,D13,D15,D16,D18,D21)</f>
        <v>#REF!</v>
      </c>
      <c r="O54" s="85"/>
      <c r="Q54" s="85"/>
      <c r="R54" s="85"/>
      <c r="T54" s="86">
        <v>93865.99</v>
      </c>
      <c r="U54" s="86">
        <f>D13-T54</f>
        <v>811134.01</v>
      </c>
      <c r="W54" s="85"/>
      <c r="X54" s="86">
        <v>0</v>
      </c>
      <c r="Y54" s="86">
        <f t="shared" si="9"/>
        <v>0</v>
      </c>
      <c r="Z54" s="86">
        <f>D54-E56</f>
        <v>0</v>
      </c>
      <c r="AF54" s="86">
        <f t="shared" si="10"/>
        <v>0</v>
      </c>
      <c r="AO54" s="86">
        <f t="shared" si="4"/>
        <v>0</v>
      </c>
    </row>
    <row r="55" spans="1:41" s="86" customFormat="1" x14ac:dyDescent="0.25">
      <c r="A55" s="432" t="s">
        <v>223</v>
      </c>
      <c r="B55" s="433">
        <v>1990302000</v>
      </c>
      <c r="C55" s="110">
        <v>1990302000</v>
      </c>
      <c r="D55" s="157">
        <v>60910.400000000001</v>
      </c>
      <c r="E55" s="97">
        <v>0</v>
      </c>
      <c r="F55" s="97"/>
      <c r="G55" s="97"/>
      <c r="H55" s="97">
        <f t="shared" si="8"/>
        <v>60910.400000000001</v>
      </c>
      <c r="I55" s="97">
        <f>E55-F55+G55</f>
        <v>0</v>
      </c>
      <c r="K55" s="98"/>
      <c r="O55" s="85"/>
      <c r="Q55" s="85"/>
      <c r="R55" s="85"/>
      <c r="W55" s="85"/>
    </row>
    <row r="56" spans="1:41" s="86" customFormat="1" x14ac:dyDescent="0.25">
      <c r="A56" s="183" t="s">
        <v>20</v>
      </c>
      <c r="B56" s="96"/>
      <c r="C56" s="110">
        <v>1020399000</v>
      </c>
      <c r="D56" s="157">
        <v>0</v>
      </c>
      <c r="E56" s="97">
        <v>0</v>
      </c>
      <c r="F56" s="97"/>
      <c r="G56" s="97"/>
      <c r="H56" s="97">
        <f t="shared" si="8"/>
        <v>0</v>
      </c>
      <c r="I56" s="97">
        <v>0</v>
      </c>
      <c r="J56" s="86">
        <f t="shared" ref="J56:J87" si="11">D56+E56</f>
        <v>0</v>
      </c>
      <c r="K56" s="98"/>
      <c r="O56" s="85"/>
      <c r="Q56" s="85"/>
      <c r="R56" s="85"/>
      <c r="W56" s="85"/>
      <c r="X56" s="86">
        <v>87139238.760000005</v>
      </c>
      <c r="Y56" s="86">
        <f t="shared" ref="Y56:Y80" si="12">D56-X56</f>
        <v>-87139238.760000005</v>
      </c>
      <c r="AF56" s="86">
        <f t="shared" ref="AF56:AF80" si="13">D56+E56</f>
        <v>0</v>
      </c>
      <c r="AO56" s="86">
        <f t="shared" ref="AO56:AO87" si="14">F56+G56</f>
        <v>0</v>
      </c>
    </row>
    <row r="57" spans="1:41" s="86" customFormat="1" x14ac:dyDescent="0.25">
      <c r="A57" s="183" t="s">
        <v>21</v>
      </c>
      <c r="B57" s="96"/>
      <c r="C57" s="110">
        <v>1060101000</v>
      </c>
      <c r="D57" s="157">
        <v>13914630</v>
      </c>
      <c r="E57" s="97">
        <v>0</v>
      </c>
      <c r="F57" s="97"/>
      <c r="G57" s="97"/>
      <c r="H57" s="97">
        <f t="shared" si="8"/>
        <v>13914630</v>
      </c>
      <c r="I57" s="97">
        <f>E57-F57+G57</f>
        <v>0</v>
      </c>
      <c r="J57" s="86">
        <f t="shared" si="11"/>
        <v>13914630</v>
      </c>
      <c r="K57" s="98"/>
      <c r="M57" s="86">
        <f>SUM(D17,D15,D16,D18,D21)</f>
        <v>220000</v>
      </c>
      <c r="O57" s="85"/>
      <c r="P57" s="85"/>
      <c r="Q57" s="85"/>
      <c r="R57" s="85"/>
      <c r="W57" s="85"/>
      <c r="X57" s="86">
        <v>0</v>
      </c>
      <c r="Y57" s="86">
        <f t="shared" si="12"/>
        <v>13914630</v>
      </c>
      <c r="AF57" s="86">
        <f t="shared" si="13"/>
        <v>13914630</v>
      </c>
      <c r="AO57" s="86">
        <f t="shared" si="14"/>
        <v>0</v>
      </c>
    </row>
    <row r="58" spans="1:41" s="86" customFormat="1" x14ac:dyDescent="0.25">
      <c r="A58" s="183" t="s">
        <v>236</v>
      </c>
      <c r="B58" s="96"/>
      <c r="C58" s="110">
        <v>1060299000</v>
      </c>
      <c r="D58" s="157">
        <v>699000</v>
      </c>
      <c r="E58" s="97">
        <v>0</v>
      </c>
      <c r="F58" s="97"/>
      <c r="G58" s="97"/>
      <c r="H58" s="97">
        <f t="shared" si="8"/>
        <v>699000</v>
      </c>
      <c r="I58" s="97">
        <v>0</v>
      </c>
      <c r="J58" s="86">
        <f t="shared" si="11"/>
        <v>699000</v>
      </c>
      <c r="K58" s="98"/>
      <c r="O58" s="85"/>
      <c r="P58" s="85"/>
      <c r="Q58" s="85"/>
      <c r="R58" s="85"/>
      <c r="W58" s="85"/>
      <c r="X58" s="86">
        <v>2303322.87</v>
      </c>
      <c r="Y58" s="86">
        <f t="shared" si="12"/>
        <v>-1604322.87</v>
      </c>
      <c r="Z58" s="86">
        <f>D57-E58</f>
        <v>13914630</v>
      </c>
      <c r="AF58" s="86">
        <f t="shared" si="13"/>
        <v>699000</v>
      </c>
      <c r="AO58" s="86">
        <f t="shared" si="14"/>
        <v>0</v>
      </c>
    </row>
    <row r="59" spans="1:41" s="86" customFormat="1" x14ac:dyDescent="0.25">
      <c r="A59" s="183" t="s">
        <v>235</v>
      </c>
      <c r="B59" s="96"/>
      <c r="C59" s="110">
        <v>1060401000</v>
      </c>
      <c r="D59" s="157">
        <v>121948226.31</v>
      </c>
      <c r="E59" s="97">
        <v>0</v>
      </c>
      <c r="F59" s="97"/>
      <c r="G59" s="97"/>
      <c r="H59" s="97">
        <f t="shared" si="8"/>
        <v>121948226.31</v>
      </c>
      <c r="I59" s="97">
        <f>E59-F59+G59</f>
        <v>0</v>
      </c>
      <c r="J59" s="86">
        <f t="shared" si="11"/>
        <v>121948226.31</v>
      </c>
      <c r="K59" s="98">
        <f>SUM(D2:E2)</f>
        <v>0</v>
      </c>
      <c r="O59" s="85"/>
      <c r="P59" s="85"/>
      <c r="Q59" s="85"/>
      <c r="R59" s="85"/>
      <c r="W59" s="85"/>
      <c r="X59" s="86">
        <v>0</v>
      </c>
      <c r="Y59" s="86">
        <f t="shared" si="12"/>
        <v>121948226.31</v>
      </c>
      <c r="AF59" s="86">
        <f t="shared" si="13"/>
        <v>121948226.31</v>
      </c>
      <c r="AO59" s="86">
        <f t="shared" si="14"/>
        <v>0</v>
      </c>
    </row>
    <row r="60" spans="1:41" s="86" customFormat="1" x14ac:dyDescent="0.25">
      <c r="A60" s="183" t="s">
        <v>24</v>
      </c>
      <c r="B60" s="96"/>
      <c r="C60" s="110">
        <v>1060499000</v>
      </c>
      <c r="D60" s="157">
        <v>14926719.51</v>
      </c>
      <c r="E60" s="97">
        <v>0</v>
      </c>
      <c r="F60" s="97"/>
      <c r="G60" s="97"/>
      <c r="H60" s="97">
        <f t="shared" ref="H60:H80" si="15">D60+F60-G60</f>
        <v>14926719.51</v>
      </c>
      <c r="I60" s="97">
        <v>0</v>
      </c>
      <c r="J60" s="86">
        <f t="shared" si="11"/>
        <v>14926719.51</v>
      </c>
      <c r="K60" s="98"/>
      <c r="O60" s="85"/>
      <c r="P60" s="85"/>
      <c r="Q60" s="85"/>
      <c r="R60" s="85"/>
      <c r="W60" s="85"/>
      <c r="X60" s="86">
        <v>21666953.699999999</v>
      </c>
      <c r="Y60" s="86">
        <f t="shared" si="12"/>
        <v>-6740234.1899999995</v>
      </c>
      <c r="Z60" s="86">
        <f>D59-E60</f>
        <v>121948226.31</v>
      </c>
      <c r="AF60" s="86">
        <f t="shared" si="13"/>
        <v>14926719.51</v>
      </c>
      <c r="AO60" s="86">
        <f t="shared" si="14"/>
        <v>0</v>
      </c>
    </row>
    <row r="61" spans="1:41" s="86" customFormat="1" x14ac:dyDescent="0.25">
      <c r="A61" s="183" t="s">
        <v>447</v>
      </c>
      <c r="B61" s="96"/>
      <c r="C61" s="110">
        <v>1060501000</v>
      </c>
      <c r="D61" s="157">
        <v>0</v>
      </c>
      <c r="E61" s="97">
        <v>0</v>
      </c>
      <c r="F61" s="97"/>
      <c r="G61" s="97"/>
      <c r="H61" s="97">
        <f t="shared" si="15"/>
        <v>0</v>
      </c>
      <c r="I61" s="97">
        <f>E61-F61+G61</f>
        <v>0</v>
      </c>
      <c r="J61" s="86">
        <f t="shared" si="11"/>
        <v>0</v>
      </c>
      <c r="K61" s="98">
        <f>SUM(D10:E10)</f>
        <v>34448915.68</v>
      </c>
      <c r="O61" s="85"/>
      <c r="P61" s="85"/>
      <c r="Q61" s="85"/>
      <c r="R61" s="85"/>
      <c r="W61" s="85"/>
      <c r="X61" s="86">
        <v>0</v>
      </c>
      <c r="Y61" s="86">
        <f t="shared" si="12"/>
        <v>0</v>
      </c>
      <c r="AF61" s="86">
        <f t="shared" si="13"/>
        <v>0</v>
      </c>
      <c r="AO61" s="86">
        <f t="shared" si="14"/>
        <v>0</v>
      </c>
    </row>
    <row r="62" spans="1:41" s="86" customFormat="1" x14ac:dyDescent="0.25">
      <c r="A62" s="183" t="s">
        <v>86</v>
      </c>
      <c r="B62" s="96"/>
      <c r="C62" s="110">
        <v>1060701000</v>
      </c>
      <c r="D62" s="157">
        <v>400810</v>
      </c>
      <c r="E62" s="97">
        <v>0</v>
      </c>
      <c r="F62" s="97"/>
      <c r="G62" s="97"/>
      <c r="H62" s="97">
        <f t="shared" si="15"/>
        <v>400810</v>
      </c>
      <c r="I62" s="97">
        <v>0</v>
      </c>
      <c r="J62" s="86">
        <f t="shared" si="11"/>
        <v>400810</v>
      </c>
      <c r="K62" s="98"/>
      <c r="O62" s="85"/>
      <c r="P62" s="85"/>
      <c r="Q62" s="85"/>
      <c r="R62" s="85"/>
      <c r="W62" s="85"/>
      <c r="X62" s="86">
        <v>70074612.719999999</v>
      </c>
      <c r="Y62" s="86">
        <f t="shared" si="12"/>
        <v>-69673802.719999999</v>
      </c>
      <c r="Z62" s="86">
        <f>D61-E62</f>
        <v>0</v>
      </c>
      <c r="AF62" s="86">
        <f t="shared" si="13"/>
        <v>400810</v>
      </c>
      <c r="AO62" s="86">
        <f t="shared" si="14"/>
        <v>0</v>
      </c>
    </row>
    <row r="63" spans="1:41" s="86" customFormat="1" x14ac:dyDescent="0.25">
      <c r="A63" s="183" t="s">
        <v>101</v>
      </c>
      <c r="B63" s="96"/>
      <c r="C63" s="110">
        <v>1060702000</v>
      </c>
      <c r="D63" s="157">
        <v>0</v>
      </c>
      <c r="E63" s="97">
        <v>0</v>
      </c>
      <c r="F63" s="97"/>
      <c r="G63" s="97"/>
      <c r="H63" s="97">
        <f t="shared" si="15"/>
        <v>0</v>
      </c>
      <c r="I63" s="97">
        <f>E63-F63+G63</f>
        <v>0</v>
      </c>
      <c r="J63" s="86">
        <f t="shared" si="11"/>
        <v>0</v>
      </c>
      <c r="K63" s="98"/>
      <c r="O63" s="85"/>
      <c r="P63" s="85"/>
      <c r="Q63" s="85"/>
      <c r="R63" s="85"/>
      <c r="W63" s="85"/>
      <c r="X63" s="86">
        <v>0</v>
      </c>
      <c r="Y63" s="86">
        <f t="shared" si="12"/>
        <v>0</v>
      </c>
      <c r="AF63" s="86">
        <f t="shared" si="13"/>
        <v>0</v>
      </c>
      <c r="AO63" s="86">
        <f t="shared" si="14"/>
        <v>0</v>
      </c>
    </row>
    <row r="64" spans="1:41" s="86" customFormat="1" x14ac:dyDescent="0.25">
      <c r="A64" s="183" t="s">
        <v>417</v>
      </c>
      <c r="B64" s="96"/>
      <c r="C64" s="110">
        <v>1060803000</v>
      </c>
      <c r="D64" s="157">
        <v>129000</v>
      </c>
      <c r="E64" s="97">
        <v>0</v>
      </c>
      <c r="F64" s="97"/>
      <c r="G64" s="97"/>
      <c r="H64" s="97">
        <f t="shared" si="15"/>
        <v>129000</v>
      </c>
      <c r="I64" s="97">
        <v>0</v>
      </c>
      <c r="J64" s="86">
        <f t="shared" si="11"/>
        <v>129000</v>
      </c>
      <c r="K64" s="98"/>
      <c r="O64" s="85"/>
      <c r="P64" s="85"/>
      <c r="Q64" s="85"/>
      <c r="R64" s="85"/>
      <c r="W64" s="85"/>
      <c r="X64" s="86">
        <v>833797.04</v>
      </c>
      <c r="Y64" s="86">
        <f t="shared" si="12"/>
        <v>-704797.04</v>
      </c>
      <c r="Z64" s="86">
        <f>D63-E64</f>
        <v>0</v>
      </c>
      <c r="AF64" s="86">
        <f t="shared" si="13"/>
        <v>129000</v>
      </c>
      <c r="AN64" s="86">
        <v>-3276.06000000005</v>
      </c>
      <c r="AO64" s="86">
        <f t="shared" si="14"/>
        <v>0</v>
      </c>
    </row>
    <row r="65" spans="1:41" s="86" customFormat="1" ht="16.5" customHeight="1" x14ac:dyDescent="0.25">
      <c r="A65" s="183" t="s">
        <v>25</v>
      </c>
      <c r="B65" s="96"/>
      <c r="C65" s="110">
        <v>1060502000</v>
      </c>
      <c r="D65" s="157">
        <v>14367994.039999999</v>
      </c>
      <c r="E65" s="97">
        <v>0</v>
      </c>
      <c r="F65" s="97">
        <v>490000</v>
      </c>
      <c r="G65" s="97"/>
      <c r="H65" s="97">
        <f t="shared" si="15"/>
        <v>14857994.039999999</v>
      </c>
      <c r="I65" s="97">
        <v>0</v>
      </c>
      <c r="J65" s="86">
        <f t="shared" si="11"/>
        <v>14367994.039999999</v>
      </c>
      <c r="K65" s="98">
        <f>SUM(D13:E13)</f>
        <v>905000</v>
      </c>
      <c r="O65" s="85"/>
      <c r="P65" s="85"/>
      <c r="Q65" s="85"/>
      <c r="R65" s="85"/>
      <c r="W65" s="85"/>
      <c r="X65" s="86">
        <v>0</v>
      </c>
      <c r="Y65" s="86">
        <f t="shared" si="12"/>
        <v>14367994.039999999</v>
      </c>
      <c r="AF65" s="86">
        <f t="shared" si="13"/>
        <v>14367994.039999999</v>
      </c>
      <c r="AO65" s="86">
        <f t="shared" si="14"/>
        <v>490000</v>
      </c>
    </row>
    <row r="66" spans="1:41" s="86" customFormat="1" ht="16.5" customHeight="1" x14ac:dyDescent="0.25">
      <c r="A66" s="183" t="s">
        <v>102</v>
      </c>
      <c r="B66" s="96"/>
      <c r="C66" s="110">
        <v>1060503000</v>
      </c>
      <c r="D66" s="157">
        <v>46705026.770000003</v>
      </c>
      <c r="E66" s="97">
        <v>0</v>
      </c>
      <c r="F66" s="97"/>
      <c r="G66" s="97"/>
      <c r="H66" s="97">
        <f t="shared" si="15"/>
        <v>46705026.770000003</v>
      </c>
      <c r="I66" s="97">
        <f>E66-F66+G66</f>
        <v>0</v>
      </c>
      <c r="J66" s="86">
        <f t="shared" si="11"/>
        <v>46705026.770000003</v>
      </c>
      <c r="K66" s="98"/>
      <c r="O66" s="85"/>
      <c r="P66" s="85"/>
      <c r="Q66" s="85"/>
      <c r="R66" s="85"/>
      <c r="W66" s="85"/>
      <c r="X66" s="86">
        <v>0</v>
      </c>
      <c r="Y66" s="86">
        <f t="shared" si="12"/>
        <v>46705026.770000003</v>
      </c>
      <c r="AF66" s="86">
        <f t="shared" si="13"/>
        <v>46705026.770000003</v>
      </c>
      <c r="AO66" s="86">
        <f t="shared" si="14"/>
        <v>0</v>
      </c>
    </row>
    <row r="67" spans="1:41" s="86" customFormat="1" ht="16.5" customHeight="1" x14ac:dyDescent="0.25">
      <c r="A67" s="183" t="s">
        <v>26</v>
      </c>
      <c r="B67" s="99"/>
      <c r="C67" s="110">
        <v>1060507000</v>
      </c>
      <c r="D67" s="157">
        <v>7834252.96</v>
      </c>
      <c r="E67" s="97">
        <v>0</v>
      </c>
      <c r="F67" s="97"/>
      <c r="G67" s="97"/>
      <c r="H67" s="97">
        <f t="shared" si="15"/>
        <v>7834252.96</v>
      </c>
      <c r="I67" s="97">
        <f>E67-F67+G67</f>
        <v>0</v>
      </c>
      <c r="J67" s="86">
        <f t="shared" si="11"/>
        <v>7834252.96</v>
      </c>
      <c r="K67" s="98">
        <f>SUM(D17:E17)</f>
        <v>0</v>
      </c>
      <c r="O67" s="85"/>
      <c r="P67" s="85"/>
      <c r="Q67" s="85"/>
      <c r="R67" s="85"/>
      <c r="W67" s="85"/>
      <c r="X67" s="86">
        <v>0</v>
      </c>
      <c r="Y67" s="86">
        <f t="shared" si="12"/>
        <v>7834252.96</v>
      </c>
      <c r="AF67" s="86">
        <f t="shared" si="13"/>
        <v>7834252.96</v>
      </c>
      <c r="AO67" s="86">
        <f t="shared" si="14"/>
        <v>0</v>
      </c>
    </row>
    <row r="68" spans="1:41" s="86" customFormat="1" ht="16.5" customHeight="1" x14ac:dyDescent="0.25">
      <c r="A68" s="183" t="s">
        <v>103</v>
      </c>
      <c r="B68" s="96"/>
      <c r="C68" s="110">
        <v>1060509000</v>
      </c>
      <c r="D68" s="157">
        <v>0</v>
      </c>
      <c r="E68" s="97">
        <v>0</v>
      </c>
      <c r="F68" s="97"/>
      <c r="G68" s="97"/>
      <c r="H68" s="97">
        <f t="shared" si="15"/>
        <v>0</v>
      </c>
      <c r="I68" s="97">
        <f>E68-F68+G68</f>
        <v>0</v>
      </c>
      <c r="J68" s="86">
        <f t="shared" si="11"/>
        <v>0</v>
      </c>
      <c r="K68" s="98"/>
      <c r="O68" s="85"/>
      <c r="P68" s="85"/>
      <c r="Q68" s="85"/>
      <c r="R68" s="85"/>
      <c r="W68" s="85"/>
      <c r="X68" s="86">
        <v>0</v>
      </c>
      <c r="Y68" s="86">
        <f t="shared" si="12"/>
        <v>0</v>
      </c>
      <c r="AF68" s="86">
        <f t="shared" si="13"/>
        <v>0</v>
      </c>
      <c r="AO68" s="86">
        <f t="shared" si="14"/>
        <v>0</v>
      </c>
    </row>
    <row r="69" spans="1:41" s="86" customFormat="1" x14ac:dyDescent="0.25">
      <c r="A69" s="183" t="s">
        <v>104</v>
      </c>
      <c r="B69" s="96"/>
      <c r="C69" s="110">
        <v>1060511000</v>
      </c>
      <c r="D69" s="157">
        <v>0</v>
      </c>
      <c r="E69" s="97">
        <v>0</v>
      </c>
      <c r="F69" s="97"/>
      <c r="G69" s="97"/>
      <c r="H69" s="97">
        <f t="shared" si="15"/>
        <v>0</v>
      </c>
      <c r="I69" s="97">
        <f>E69-F69+G69</f>
        <v>0</v>
      </c>
      <c r="J69" s="86">
        <f t="shared" si="11"/>
        <v>0</v>
      </c>
      <c r="K69" s="98"/>
      <c r="O69" s="85"/>
      <c r="P69" s="85"/>
      <c r="Q69" s="85"/>
      <c r="R69" s="85"/>
      <c r="W69" s="85"/>
      <c r="X69" s="86">
        <v>0</v>
      </c>
      <c r="Y69" s="86">
        <f t="shared" si="12"/>
        <v>0</v>
      </c>
      <c r="AF69" s="86">
        <f t="shared" si="13"/>
        <v>0</v>
      </c>
      <c r="AO69" s="86">
        <f t="shared" si="14"/>
        <v>0</v>
      </c>
    </row>
    <row r="70" spans="1:41" s="86" customFormat="1" x14ac:dyDescent="0.25">
      <c r="A70" s="183" t="s">
        <v>27</v>
      </c>
      <c r="B70" s="96"/>
      <c r="C70" s="110">
        <v>1060513000</v>
      </c>
      <c r="D70" s="157">
        <v>158769</v>
      </c>
      <c r="E70" s="97">
        <v>0</v>
      </c>
      <c r="F70" s="97"/>
      <c r="G70" s="97"/>
      <c r="H70" s="97">
        <f t="shared" si="15"/>
        <v>158769</v>
      </c>
      <c r="I70" s="97"/>
      <c r="J70" s="86">
        <f t="shared" si="11"/>
        <v>158769</v>
      </c>
      <c r="K70" s="98"/>
      <c r="O70" s="85"/>
      <c r="P70" s="85"/>
      <c r="Q70" s="85"/>
      <c r="R70" s="85"/>
      <c r="W70" s="85"/>
      <c r="X70" s="86">
        <v>133974</v>
      </c>
      <c r="Y70" s="86">
        <f t="shared" si="12"/>
        <v>24795</v>
      </c>
      <c r="Z70" s="86">
        <f>D69-E70</f>
        <v>0</v>
      </c>
      <c r="AF70" s="86">
        <f t="shared" si="13"/>
        <v>158769</v>
      </c>
      <c r="AO70" s="86">
        <f t="shared" si="14"/>
        <v>0</v>
      </c>
    </row>
    <row r="71" spans="1:41" s="86" customFormat="1" x14ac:dyDescent="0.25">
      <c r="A71" s="183" t="s">
        <v>265</v>
      </c>
      <c r="B71" s="96"/>
      <c r="C71" s="110">
        <v>1060514000</v>
      </c>
      <c r="D71" s="157">
        <v>305078.56</v>
      </c>
      <c r="E71" s="97">
        <v>0</v>
      </c>
      <c r="F71" s="97"/>
      <c r="G71" s="97"/>
      <c r="H71" s="97">
        <f t="shared" si="15"/>
        <v>305078.56</v>
      </c>
      <c r="I71" s="97">
        <f>E71-F71+G71</f>
        <v>0</v>
      </c>
      <c r="J71" s="86">
        <f t="shared" si="11"/>
        <v>305078.56</v>
      </c>
      <c r="K71" s="98"/>
      <c r="O71" s="85"/>
      <c r="P71" s="85"/>
      <c r="Q71" s="85"/>
      <c r="R71" s="85"/>
      <c r="W71" s="85"/>
      <c r="X71" s="86">
        <v>0</v>
      </c>
      <c r="Y71" s="86">
        <f t="shared" si="12"/>
        <v>305078.56</v>
      </c>
      <c r="AF71" s="86">
        <f t="shared" si="13"/>
        <v>305078.56</v>
      </c>
      <c r="AO71" s="86">
        <f t="shared" si="14"/>
        <v>0</v>
      </c>
    </row>
    <row r="72" spans="1:41" s="86" customFormat="1" x14ac:dyDescent="0.25">
      <c r="A72" s="183" t="s">
        <v>489</v>
      </c>
      <c r="B72" s="96"/>
      <c r="C72" s="110">
        <v>1060599000</v>
      </c>
      <c r="D72" s="157">
        <v>1319463.77</v>
      </c>
      <c r="E72" s="97">
        <v>0</v>
      </c>
      <c r="F72" s="97"/>
      <c r="G72" s="97"/>
      <c r="H72" s="97">
        <f t="shared" si="15"/>
        <v>1319463.77</v>
      </c>
      <c r="I72" s="97">
        <v>0</v>
      </c>
      <c r="J72" s="86">
        <f t="shared" si="11"/>
        <v>1319463.77</v>
      </c>
      <c r="K72" s="98"/>
      <c r="O72" s="85"/>
      <c r="P72" s="85"/>
      <c r="Q72" s="85"/>
      <c r="R72" s="85"/>
      <c r="W72" s="85"/>
      <c r="X72" s="86">
        <v>401520</v>
      </c>
      <c r="Y72" s="86">
        <f t="shared" si="12"/>
        <v>917943.77</v>
      </c>
      <c r="Z72" s="86">
        <f>D71-E72</f>
        <v>305078.56</v>
      </c>
      <c r="AF72" s="86">
        <f t="shared" si="13"/>
        <v>1319463.77</v>
      </c>
      <c r="AO72" s="86">
        <f t="shared" si="14"/>
        <v>0</v>
      </c>
    </row>
    <row r="73" spans="1:41" s="86" customFormat="1" ht="35.25" customHeight="1" x14ac:dyDescent="0.25">
      <c r="A73" s="183" t="s">
        <v>28</v>
      </c>
      <c r="B73" s="96"/>
      <c r="C73" s="110">
        <v>1060601000</v>
      </c>
      <c r="D73" s="157">
        <v>46844541.759999998</v>
      </c>
      <c r="E73" s="97">
        <v>0</v>
      </c>
      <c r="F73" s="97"/>
      <c r="G73" s="97">
        <v>907500</v>
      </c>
      <c r="H73" s="97">
        <f t="shared" si="15"/>
        <v>45937041.759999998</v>
      </c>
      <c r="I73" s="97"/>
      <c r="J73" s="86">
        <f t="shared" si="11"/>
        <v>46844541.759999998</v>
      </c>
      <c r="K73" s="98"/>
      <c r="O73" s="85"/>
      <c r="P73" s="85"/>
      <c r="Q73" s="85"/>
      <c r="R73" s="85"/>
      <c r="W73" s="85"/>
      <c r="X73" s="86">
        <v>0</v>
      </c>
      <c r="Y73" s="86">
        <f t="shared" si="12"/>
        <v>46844541.759999998</v>
      </c>
      <c r="AF73" s="86">
        <f t="shared" si="13"/>
        <v>46844541.759999998</v>
      </c>
      <c r="AO73" s="86">
        <f t="shared" si="14"/>
        <v>907500</v>
      </c>
    </row>
    <row r="74" spans="1:41" s="86" customFormat="1" ht="16.5" customHeight="1" x14ac:dyDescent="0.25">
      <c r="A74" s="183" t="s">
        <v>87</v>
      </c>
      <c r="B74" s="96"/>
      <c r="C74" s="110">
        <v>1069999000</v>
      </c>
      <c r="D74" s="157">
        <v>0</v>
      </c>
      <c r="E74" s="97">
        <v>0</v>
      </c>
      <c r="F74" s="97"/>
      <c r="G74" s="97"/>
      <c r="H74" s="97">
        <f t="shared" si="15"/>
        <v>0</v>
      </c>
      <c r="I74" s="97">
        <v>0</v>
      </c>
      <c r="J74" s="86">
        <f t="shared" si="11"/>
        <v>0</v>
      </c>
      <c r="K74" s="98"/>
      <c r="O74" s="85"/>
      <c r="P74" s="85"/>
      <c r="Q74" s="85"/>
      <c r="R74" s="85"/>
      <c r="W74" s="85"/>
      <c r="X74" s="86">
        <v>0</v>
      </c>
      <c r="Y74" s="86">
        <f t="shared" si="12"/>
        <v>0</v>
      </c>
      <c r="AF74" s="86">
        <f t="shared" si="13"/>
        <v>0</v>
      </c>
      <c r="AO74" s="86">
        <f t="shared" si="14"/>
        <v>0</v>
      </c>
    </row>
    <row r="75" spans="1:41" s="86" customFormat="1" x14ac:dyDescent="0.25">
      <c r="A75" s="183" t="s">
        <v>354</v>
      </c>
      <c r="B75" s="96"/>
      <c r="C75" s="110">
        <v>1080102000</v>
      </c>
      <c r="D75" s="157">
        <v>997450</v>
      </c>
      <c r="E75" s="97">
        <v>0</v>
      </c>
      <c r="F75" s="97"/>
      <c r="G75" s="97"/>
      <c r="H75" s="97">
        <f t="shared" si="15"/>
        <v>997450</v>
      </c>
      <c r="I75" s="97">
        <f>E75-F75+G75</f>
        <v>0</v>
      </c>
      <c r="J75" s="86">
        <f t="shared" si="11"/>
        <v>997450</v>
      </c>
      <c r="K75" s="98"/>
      <c r="O75" s="85"/>
      <c r="P75" s="85"/>
      <c r="Q75" s="85"/>
      <c r="R75" s="85"/>
      <c r="W75" s="85"/>
      <c r="X75" s="86">
        <v>0</v>
      </c>
      <c r="Y75" s="86">
        <f t="shared" si="12"/>
        <v>997450</v>
      </c>
      <c r="AF75" s="86">
        <f t="shared" si="13"/>
        <v>997450</v>
      </c>
      <c r="AO75" s="86">
        <f t="shared" si="14"/>
        <v>0</v>
      </c>
    </row>
    <row r="76" spans="1:41" s="86" customFormat="1" x14ac:dyDescent="0.25">
      <c r="A76" s="183" t="s">
        <v>226</v>
      </c>
      <c r="B76" s="96"/>
      <c r="C76" s="110">
        <v>1990201000</v>
      </c>
      <c r="D76" s="157">
        <v>2924469.03</v>
      </c>
      <c r="E76" s="97">
        <v>0</v>
      </c>
      <c r="F76" s="97"/>
      <c r="G76" s="97"/>
      <c r="H76" s="97">
        <f t="shared" si="15"/>
        <v>2924469.03</v>
      </c>
      <c r="I76" s="97">
        <v>0</v>
      </c>
      <c r="J76" s="86">
        <f t="shared" si="11"/>
        <v>2924469.03</v>
      </c>
      <c r="K76" s="98"/>
      <c r="O76" s="85"/>
      <c r="P76" s="85"/>
      <c r="Q76" s="85"/>
      <c r="R76" s="85"/>
      <c r="W76" s="85"/>
      <c r="X76" s="86">
        <v>29948393.719999999</v>
      </c>
      <c r="Y76" s="86">
        <f t="shared" si="12"/>
        <v>-27023924.689999998</v>
      </c>
      <c r="Z76" s="86">
        <f>D75-E76</f>
        <v>997450</v>
      </c>
      <c r="AF76" s="86">
        <f t="shared" si="13"/>
        <v>2924469.03</v>
      </c>
      <c r="AO76" s="86">
        <f t="shared" si="14"/>
        <v>0</v>
      </c>
    </row>
    <row r="77" spans="1:41" s="86" customFormat="1" ht="16.5" customHeight="1" x14ac:dyDescent="0.25">
      <c r="A77" s="183" t="s">
        <v>225</v>
      </c>
      <c r="B77" s="96"/>
      <c r="C77" s="110">
        <v>1990202000</v>
      </c>
      <c r="D77" s="157">
        <v>153261.57</v>
      </c>
      <c r="E77" s="97">
        <v>0</v>
      </c>
      <c r="F77" s="97"/>
      <c r="G77" s="97"/>
      <c r="H77" s="97">
        <f t="shared" si="15"/>
        <v>153261.57</v>
      </c>
      <c r="I77" s="97">
        <f>E77-F77+G77</f>
        <v>0</v>
      </c>
      <c r="J77" s="86">
        <f t="shared" si="11"/>
        <v>153261.57</v>
      </c>
      <c r="K77" s="98"/>
      <c r="O77" s="85"/>
      <c r="P77" s="85"/>
      <c r="Q77" s="85"/>
      <c r="R77" s="85"/>
      <c r="W77" s="85"/>
      <c r="X77" s="86">
        <v>0</v>
      </c>
      <c r="Y77" s="86">
        <f t="shared" si="12"/>
        <v>153261.57</v>
      </c>
      <c r="AF77" s="86">
        <f t="shared" si="13"/>
        <v>153261.57</v>
      </c>
      <c r="AO77" s="86">
        <f t="shared" si="14"/>
        <v>0</v>
      </c>
    </row>
    <row r="78" spans="1:41" s="86" customFormat="1" ht="16.5" customHeight="1" x14ac:dyDescent="0.25">
      <c r="A78" s="183" t="s">
        <v>224</v>
      </c>
      <c r="B78" s="96"/>
      <c r="C78" s="110">
        <v>1990205000</v>
      </c>
      <c r="D78" s="157">
        <v>1337586.6000000001</v>
      </c>
      <c r="E78" s="97">
        <v>0</v>
      </c>
      <c r="F78" s="97"/>
      <c r="G78" s="97">
        <f>'[19]FC1 2024'!$O$35</f>
        <v>390088.68916663527</v>
      </c>
      <c r="H78" s="97">
        <f t="shared" si="15"/>
        <v>947497.91083336482</v>
      </c>
      <c r="I78" s="97">
        <v>0</v>
      </c>
      <c r="J78" s="86">
        <f t="shared" si="11"/>
        <v>1337586.6000000001</v>
      </c>
      <c r="K78" s="98"/>
      <c r="O78" s="85"/>
      <c r="P78" s="85"/>
      <c r="Q78" s="85"/>
      <c r="R78" s="85"/>
      <c r="W78" s="85"/>
      <c r="X78" s="86">
        <v>0</v>
      </c>
      <c r="Y78" s="86">
        <f t="shared" si="12"/>
        <v>1337586.6000000001</v>
      </c>
      <c r="AF78" s="86">
        <f t="shared" si="13"/>
        <v>1337586.6000000001</v>
      </c>
      <c r="AO78" s="86">
        <f t="shared" si="14"/>
        <v>390088.68916663527</v>
      </c>
    </row>
    <row r="79" spans="1:41" x14ac:dyDescent="0.25">
      <c r="A79" s="183" t="s">
        <v>459</v>
      </c>
      <c r="B79" s="96"/>
      <c r="C79" s="110">
        <v>1990210001</v>
      </c>
      <c r="D79" s="157">
        <v>0</v>
      </c>
      <c r="E79" s="97">
        <v>0</v>
      </c>
      <c r="F79" s="97"/>
      <c r="G79" s="97"/>
      <c r="H79" s="97">
        <f t="shared" si="15"/>
        <v>0</v>
      </c>
      <c r="I79" s="97">
        <f t="shared" ref="I79:I96" si="16">E79-F79+G79</f>
        <v>0</v>
      </c>
      <c r="J79" s="86">
        <f t="shared" si="11"/>
        <v>0</v>
      </c>
      <c r="K79" s="98"/>
      <c r="L79" s="86"/>
      <c r="M79" s="86">
        <v>86169844.049999788</v>
      </c>
      <c r="P79" s="86">
        <v>60653680.450000003</v>
      </c>
      <c r="X79" s="86">
        <v>0</v>
      </c>
      <c r="Y79" s="86">
        <f t="shared" si="12"/>
        <v>0</v>
      </c>
      <c r="AF79" s="86">
        <f t="shared" si="13"/>
        <v>0</v>
      </c>
      <c r="AO79" s="86">
        <f t="shared" si="14"/>
        <v>0</v>
      </c>
    </row>
    <row r="80" spans="1:41" x14ac:dyDescent="0.25">
      <c r="A80" s="183" t="s">
        <v>383</v>
      </c>
      <c r="B80" s="96"/>
      <c r="C80" s="110">
        <v>1060299100</v>
      </c>
      <c r="D80" s="157">
        <v>0</v>
      </c>
      <c r="E80" s="97">
        <v>444174.78</v>
      </c>
      <c r="F80" s="97"/>
      <c r="G80" s="97"/>
      <c r="H80" s="97">
        <f t="shared" si="15"/>
        <v>0</v>
      </c>
      <c r="I80" s="97">
        <f t="shared" si="16"/>
        <v>444174.78</v>
      </c>
      <c r="J80" s="86">
        <f t="shared" si="11"/>
        <v>444174.78</v>
      </c>
      <c r="K80" s="98"/>
      <c r="L80" s="86"/>
      <c r="P80" s="86"/>
      <c r="X80" s="86">
        <v>6005501.1299999999</v>
      </c>
      <c r="Y80" s="86">
        <f t="shared" si="12"/>
        <v>-6005501.1299999999</v>
      </c>
      <c r="Z80" s="86">
        <f>D79-E80</f>
        <v>-444174.78</v>
      </c>
      <c r="AF80" s="86">
        <f t="shared" si="13"/>
        <v>444174.78</v>
      </c>
      <c r="AO80" s="86">
        <f t="shared" si="14"/>
        <v>0</v>
      </c>
    </row>
    <row r="81" spans="1:41" x14ac:dyDescent="0.25">
      <c r="A81" s="183" t="s">
        <v>359</v>
      </c>
      <c r="B81" s="96"/>
      <c r="C81" s="110">
        <v>1060401100</v>
      </c>
      <c r="D81" s="157">
        <v>0</v>
      </c>
      <c r="E81" s="97">
        <v>32712526.149999999</v>
      </c>
      <c r="F81" s="97"/>
      <c r="G81" s="97">
        <f>502847.38+4077156.99</f>
        <v>4580004.37</v>
      </c>
      <c r="H81" s="97">
        <v>0</v>
      </c>
      <c r="I81" s="97">
        <f t="shared" si="16"/>
        <v>37292530.519999996</v>
      </c>
      <c r="J81" s="86">
        <f t="shared" si="11"/>
        <v>32712526.149999999</v>
      </c>
      <c r="K81" s="98"/>
      <c r="L81" s="86"/>
      <c r="P81" s="86"/>
      <c r="X81" s="86"/>
      <c r="Y81" s="86"/>
      <c r="AF81" s="86"/>
      <c r="AO81" s="86">
        <f t="shared" si="14"/>
        <v>4580004.37</v>
      </c>
    </row>
    <row r="82" spans="1:41" x14ac:dyDescent="0.25">
      <c r="A82" s="183" t="s">
        <v>106</v>
      </c>
      <c r="B82" s="96"/>
      <c r="C82" s="110">
        <v>1060499100</v>
      </c>
      <c r="D82" s="157">
        <v>0</v>
      </c>
      <c r="E82" s="97">
        <v>3349212.94</v>
      </c>
      <c r="F82" s="97"/>
      <c r="G82" s="97">
        <f>'[19]FC1 2024'!$O$74</f>
        <v>234887.5</v>
      </c>
      <c r="H82" s="97">
        <v>0</v>
      </c>
      <c r="I82" s="97">
        <f t="shared" si="16"/>
        <v>3584100.44</v>
      </c>
      <c r="J82" s="86">
        <f t="shared" si="11"/>
        <v>3349212.94</v>
      </c>
      <c r="K82" s="98">
        <f>SUM(D31:E31)</f>
        <v>54562085.899999999</v>
      </c>
      <c r="L82" s="86"/>
      <c r="M82" s="86">
        <f>M57-M79</f>
        <v>-85949844.049999788</v>
      </c>
      <c r="P82" s="86">
        <v>66506424.899999999</v>
      </c>
      <c r="X82" s="86">
        <v>0</v>
      </c>
      <c r="Y82" s="86">
        <f>D82-X82</f>
        <v>0</v>
      </c>
      <c r="AF82" s="86">
        <f>D82+E82</f>
        <v>3349212.94</v>
      </c>
      <c r="AO82" s="86">
        <f t="shared" si="14"/>
        <v>234887.5</v>
      </c>
    </row>
    <row r="83" spans="1:41" x14ac:dyDescent="0.25">
      <c r="A83" s="183" t="s">
        <v>89</v>
      </c>
      <c r="B83" s="96"/>
      <c r="C83" s="110">
        <v>1060701100</v>
      </c>
      <c r="D83" s="157">
        <v>0</v>
      </c>
      <c r="E83" s="97">
        <v>170593.95</v>
      </c>
      <c r="F83" s="97"/>
      <c r="G83" s="97"/>
      <c r="H83" s="97">
        <f>D83+F83-G83</f>
        <v>0</v>
      </c>
      <c r="I83" s="97">
        <f t="shared" si="16"/>
        <v>170593.95</v>
      </c>
      <c r="J83" s="86">
        <f t="shared" si="11"/>
        <v>170593.95</v>
      </c>
      <c r="K83" s="98">
        <f>SUM(D69:E69)</f>
        <v>0</v>
      </c>
      <c r="L83" s="86"/>
      <c r="X83" s="86">
        <v>19800</v>
      </c>
      <c r="Y83" s="86">
        <f>D83-X83</f>
        <v>-19800</v>
      </c>
      <c r="AF83" s="86">
        <f>D83+E83</f>
        <v>170593.95</v>
      </c>
      <c r="AO83" s="86">
        <f t="shared" si="14"/>
        <v>0</v>
      </c>
    </row>
    <row r="84" spans="1:41" x14ac:dyDescent="0.25">
      <c r="A84" s="183" t="s">
        <v>107</v>
      </c>
      <c r="B84" s="96"/>
      <c r="C84" s="110">
        <v>1060702100</v>
      </c>
      <c r="D84" s="157">
        <v>0</v>
      </c>
      <c r="E84" s="97">
        <v>0</v>
      </c>
      <c r="F84" s="97"/>
      <c r="G84" s="97"/>
      <c r="H84" s="97">
        <v>0</v>
      </c>
      <c r="I84" s="97">
        <f t="shared" si="16"/>
        <v>0</v>
      </c>
      <c r="J84" s="86">
        <f t="shared" si="11"/>
        <v>0</v>
      </c>
      <c r="K84" s="98"/>
      <c r="L84" s="86"/>
      <c r="X84" s="86">
        <v>0</v>
      </c>
      <c r="Y84" s="86">
        <f>D84-X84</f>
        <v>0</v>
      </c>
      <c r="AF84" s="86">
        <f>D84+E84</f>
        <v>0</v>
      </c>
      <c r="AO84" s="86">
        <f t="shared" si="14"/>
        <v>0</v>
      </c>
    </row>
    <row r="85" spans="1:41" x14ac:dyDescent="0.25">
      <c r="A85" s="183" t="s">
        <v>88</v>
      </c>
      <c r="B85" s="96"/>
      <c r="C85" s="110">
        <v>1060502100</v>
      </c>
      <c r="D85" s="157">
        <v>0</v>
      </c>
      <c r="E85" s="97">
        <v>11188319.699999999</v>
      </c>
      <c r="F85" s="97"/>
      <c r="G85" s="97"/>
      <c r="H85" s="97">
        <v>0</v>
      </c>
      <c r="I85" s="97">
        <f t="shared" si="16"/>
        <v>11188319.699999999</v>
      </c>
      <c r="J85" s="86">
        <f t="shared" si="11"/>
        <v>11188319.699999999</v>
      </c>
      <c r="K85" s="98"/>
      <c r="L85" s="86"/>
      <c r="X85" s="86">
        <v>62972551.200000003</v>
      </c>
      <c r="Y85" s="86">
        <f>D85-X85</f>
        <v>-62972551.200000003</v>
      </c>
      <c r="AF85" s="86">
        <f>D85+E85</f>
        <v>11188319.699999999</v>
      </c>
      <c r="AO85" s="86">
        <f t="shared" si="14"/>
        <v>0</v>
      </c>
    </row>
    <row r="86" spans="1:41" ht="31.5" x14ac:dyDescent="0.25">
      <c r="A86" s="183" t="s">
        <v>399</v>
      </c>
      <c r="B86" s="96"/>
      <c r="C86" s="110">
        <v>1060503100</v>
      </c>
      <c r="D86" s="157">
        <v>0</v>
      </c>
      <c r="E86" s="97">
        <v>19879000.039999999</v>
      </c>
      <c r="F86" s="97"/>
      <c r="G86" s="97">
        <f>17375+125070</f>
        <v>142445</v>
      </c>
      <c r="H86" s="97">
        <v>0</v>
      </c>
      <c r="I86" s="97">
        <f t="shared" si="16"/>
        <v>20021445.039999999</v>
      </c>
      <c r="J86" s="86">
        <f t="shared" si="11"/>
        <v>19879000.039999999</v>
      </c>
      <c r="K86" s="98"/>
      <c r="L86" s="86"/>
      <c r="X86" s="86"/>
      <c r="Y86" s="86"/>
      <c r="AF86" s="86"/>
      <c r="AO86" s="86">
        <f t="shared" si="14"/>
        <v>142445</v>
      </c>
    </row>
    <row r="87" spans="1:41" s="86" customFormat="1" ht="31.5" x14ac:dyDescent="0.25">
      <c r="A87" s="183" t="s">
        <v>418</v>
      </c>
      <c r="B87" s="96"/>
      <c r="C87" s="110">
        <v>1060803100</v>
      </c>
      <c r="D87" s="157">
        <v>0</v>
      </c>
      <c r="E87" s="97">
        <v>30637.5</v>
      </c>
      <c r="F87" s="97"/>
      <c r="G87" s="97"/>
      <c r="H87" s="97">
        <v>0</v>
      </c>
      <c r="I87" s="97">
        <f t="shared" si="16"/>
        <v>30637.5</v>
      </c>
      <c r="J87" s="86">
        <f t="shared" si="11"/>
        <v>30637.5</v>
      </c>
      <c r="K87" s="98"/>
      <c r="O87" s="85"/>
      <c r="P87" s="85"/>
      <c r="Q87" s="85"/>
      <c r="R87" s="85"/>
      <c r="W87" s="85"/>
      <c r="X87" s="86">
        <v>32850</v>
      </c>
      <c r="Y87" s="86">
        <f t="shared" ref="Y87:Y96" si="17">D87-X87</f>
        <v>-32850</v>
      </c>
      <c r="AF87" s="86">
        <f t="shared" ref="AF87:AF96" si="18">D87+E87</f>
        <v>30637.5</v>
      </c>
      <c r="AO87" s="86">
        <f t="shared" si="14"/>
        <v>0</v>
      </c>
    </row>
    <row r="88" spans="1:41" s="86" customFormat="1" x14ac:dyDescent="0.25">
      <c r="A88" s="183" t="s">
        <v>90</v>
      </c>
      <c r="B88" s="96"/>
      <c r="C88" s="110">
        <v>1060507100</v>
      </c>
      <c r="D88" s="157">
        <v>0</v>
      </c>
      <c r="E88" s="97">
        <v>575464.92000000004</v>
      </c>
      <c r="F88" s="97"/>
      <c r="G88" s="97"/>
      <c r="H88" s="97">
        <v>0</v>
      </c>
      <c r="I88" s="97">
        <f t="shared" si="16"/>
        <v>575464.92000000004</v>
      </c>
      <c r="J88" s="86">
        <f t="shared" ref="J88:J119" si="19">D88+E88</f>
        <v>575464.92000000004</v>
      </c>
      <c r="K88" s="98">
        <f>SUM(D37:E37)</f>
        <v>79220</v>
      </c>
      <c r="O88" s="85"/>
      <c r="P88" s="85"/>
      <c r="Q88" s="85"/>
      <c r="R88" s="85"/>
      <c r="W88" s="85"/>
      <c r="X88" s="86">
        <v>0</v>
      </c>
      <c r="Y88" s="86">
        <f t="shared" si="17"/>
        <v>0</v>
      </c>
      <c r="AF88" s="86">
        <f t="shared" si="18"/>
        <v>575464.92000000004</v>
      </c>
      <c r="AO88" s="86">
        <f t="shared" ref="AO88:AO119" si="20">F88+G88</f>
        <v>0</v>
      </c>
    </row>
    <row r="89" spans="1:41" s="86" customFormat="1" ht="31.5" x14ac:dyDescent="0.25">
      <c r="A89" s="183" t="s">
        <v>108</v>
      </c>
      <c r="B89" s="96"/>
      <c r="C89" s="110">
        <v>1060509100</v>
      </c>
      <c r="D89" s="157">
        <v>0</v>
      </c>
      <c r="E89" s="97">
        <v>0</v>
      </c>
      <c r="F89" s="97"/>
      <c r="G89" s="97"/>
      <c r="H89" s="97">
        <f t="shared" ref="H89:H94" si="21">D89+F89-G89</f>
        <v>0</v>
      </c>
      <c r="I89" s="97">
        <f t="shared" si="16"/>
        <v>0</v>
      </c>
      <c r="J89" s="86">
        <f t="shared" si="19"/>
        <v>0</v>
      </c>
      <c r="K89" s="98"/>
      <c r="O89" s="85"/>
      <c r="P89" s="85"/>
      <c r="Q89" s="85"/>
      <c r="R89" s="85"/>
      <c r="W89" s="85"/>
      <c r="X89" s="86">
        <v>557281</v>
      </c>
      <c r="Y89" s="86">
        <f t="shared" si="17"/>
        <v>-557281</v>
      </c>
      <c r="AF89" s="86">
        <f t="shared" si="18"/>
        <v>0</v>
      </c>
      <c r="AO89" s="86">
        <f t="shared" si="20"/>
        <v>0</v>
      </c>
    </row>
    <row r="90" spans="1:41" s="86" customFormat="1" x14ac:dyDescent="0.25">
      <c r="A90" s="183" t="s">
        <v>109</v>
      </c>
      <c r="B90" s="96"/>
      <c r="C90" s="110">
        <v>1060511100</v>
      </c>
      <c r="D90" s="157">
        <v>0</v>
      </c>
      <c r="E90" s="97">
        <v>0</v>
      </c>
      <c r="F90" s="97"/>
      <c r="G90" s="97"/>
      <c r="H90" s="97">
        <f t="shared" si="21"/>
        <v>0</v>
      </c>
      <c r="I90" s="97">
        <f t="shared" si="16"/>
        <v>0</v>
      </c>
      <c r="J90" s="86">
        <f t="shared" si="19"/>
        <v>0</v>
      </c>
      <c r="K90" s="98"/>
      <c r="O90" s="85"/>
      <c r="P90" s="85"/>
      <c r="Q90" s="85"/>
      <c r="R90" s="85"/>
      <c r="W90" s="85"/>
      <c r="X90" s="86">
        <v>1328944772.5799999</v>
      </c>
      <c r="Y90" s="86">
        <f t="shared" si="17"/>
        <v>-1328944772.5799999</v>
      </c>
      <c r="Z90" s="90" t="s">
        <v>530</v>
      </c>
      <c r="AF90" s="86">
        <f t="shared" si="18"/>
        <v>0</v>
      </c>
      <c r="AO90" s="86">
        <f t="shared" si="20"/>
        <v>0</v>
      </c>
    </row>
    <row r="91" spans="1:41" s="86" customFormat="1" x14ac:dyDescent="0.25">
      <c r="A91" s="183" t="s">
        <v>91</v>
      </c>
      <c r="B91" s="99"/>
      <c r="C91" s="110">
        <v>1060513100</v>
      </c>
      <c r="D91" s="157">
        <v>0</v>
      </c>
      <c r="E91" s="97">
        <v>150830.54999999999</v>
      </c>
      <c r="F91" s="97"/>
      <c r="G91" s="97"/>
      <c r="H91" s="97">
        <f t="shared" si="21"/>
        <v>0</v>
      </c>
      <c r="I91" s="97">
        <f t="shared" si="16"/>
        <v>150830.54999999999</v>
      </c>
      <c r="J91" s="86">
        <f t="shared" si="19"/>
        <v>150830.54999999999</v>
      </c>
      <c r="K91" s="98"/>
      <c r="O91" s="85"/>
      <c r="P91" s="85"/>
      <c r="Q91" s="85"/>
      <c r="R91" s="85"/>
      <c r="W91" s="85"/>
      <c r="X91" s="86">
        <v>1122746</v>
      </c>
      <c r="Y91" s="86">
        <f t="shared" si="17"/>
        <v>-1122746</v>
      </c>
      <c r="AF91" s="86">
        <f t="shared" si="18"/>
        <v>150830.54999999999</v>
      </c>
      <c r="AO91" s="86">
        <f t="shared" si="20"/>
        <v>0</v>
      </c>
    </row>
    <row r="92" spans="1:41" s="86" customFormat="1" ht="31.5" x14ac:dyDescent="0.25">
      <c r="A92" s="183" t="s">
        <v>266</v>
      </c>
      <c r="B92" s="96"/>
      <c r="C92" s="110">
        <v>1060514100</v>
      </c>
      <c r="D92" s="157">
        <v>0</v>
      </c>
      <c r="E92" s="97">
        <v>248122.9</v>
      </c>
      <c r="F92" s="97"/>
      <c r="G92" s="97"/>
      <c r="H92" s="97">
        <f t="shared" si="21"/>
        <v>0</v>
      </c>
      <c r="I92" s="97">
        <f t="shared" si="16"/>
        <v>248122.9</v>
      </c>
      <c r="J92" s="86">
        <f t="shared" si="19"/>
        <v>248122.9</v>
      </c>
      <c r="K92" s="98"/>
      <c r="O92" s="85"/>
      <c r="P92" s="85"/>
      <c r="Q92" s="85"/>
      <c r="R92" s="85"/>
      <c r="W92" s="85"/>
      <c r="X92" s="86">
        <v>248636.07</v>
      </c>
      <c r="Y92" s="86">
        <f t="shared" si="17"/>
        <v>-248636.07</v>
      </c>
      <c r="AF92" s="86">
        <f t="shared" si="18"/>
        <v>248122.9</v>
      </c>
      <c r="AO92" s="86">
        <f t="shared" si="20"/>
        <v>0</v>
      </c>
    </row>
    <row r="93" spans="1:41" s="86" customFormat="1" x14ac:dyDescent="0.25">
      <c r="A93" s="183" t="s">
        <v>490</v>
      </c>
      <c r="B93" s="96"/>
      <c r="C93" s="110">
        <v>1060599100</v>
      </c>
      <c r="D93" s="157">
        <v>0</v>
      </c>
      <c r="E93" s="97">
        <v>531016.44999999995</v>
      </c>
      <c r="F93" s="97"/>
      <c r="G93" s="97"/>
      <c r="H93" s="97">
        <f t="shared" si="21"/>
        <v>0</v>
      </c>
      <c r="I93" s="97">
        <f t="shared" si="16"/>
        <v>531016.44999999995</v>
      </c>
      <c r="J93" s="86">
        <f t="shared" si="19"/>
        <v>531016.44999999995</v>
      </c>
      <c r="K93" s="98"/>
      <c r="O93" s="85"/>
      <c r="P93" s="85"/>
      <c r="Q93" s="85"/>
      <c r="R93" s="85"/>
      <c r="W93" s="85"/>
      <c r="X93" s="86">
        <v>59600</v>
      </c>
      <c r="Y93" s="86">
        <f t="shared" si="17"/>
        <v>-59600</v>
      </c>
      <c r="AF93" s="86">
        <f t="shared" si="18"/>
        <v>531016.44999999995</v>
      </c>
      <c r="AO93" s="86">
        <f t="shared" si="20"/>
        <v>0</v>
      </c>
    </row>
    <row r="94" spans="1:41" s="86" customFormat="1" ht="16.5" customHeight="1" x14ac:dyDescent="0.25">
      <c r="A94" s="183" t="s">
        <v>92</v>
      </c>
      <c r="B94" s="96"/>
      <c r="C94" s="110">
        <v>1060601100</v>
      </c>
      <c r="D94" s="157">
        <v>0</v>
      </c>
      <c r="E94" s="97">
        <v>25885038.23</v>
      </c>
      <c r="F94" s="97"/>
      <c r="G94" s="97"/>
      <c r="H94" s="97">
        <f t="shared" si="21"/>
        <v>0</v>
      </c>
      <c r="I94" s="97">
        <f t="shared" si="16"/>
        <v>25885038.23</v>
      </c>
      <c r="J94" s="86">
        <f t="shared" si="19"/>
        <v>25885038.23</v>
      </c>
      <c r="K94" s="98"/>
      <c r="O94" s="85"/>
      <c r="P94" s="85"/>
      <c r="Q94" s="85"/>
      <c r="R94" s="85"/>
      <c r="W94" s="85"/>
      <c r="X94" s="86">
        <v>757539.21</v>
      </c>
      <c r="Y94" s="86">
        <f t="shared" si="17"/>
        <v>-757539.21</v>
      </c>
      <c r="AC94" s="86">
        <v>80</v>
      </c>
      <c r="AF94" s="86">
        <f t="shared" si="18"/>
        <v>25885038.23</v>
      </c>
      <c r="AO94" s="86">
        <f t="shared" si="20"/>
        <v>0</v>
      </c>
    </row>
    <row r="95" spans="1:41" s="86" customFormat="1" ht="31.5" x14ac:dyDescent="0.25">
      <c r="A95" s="183" t="s">
        <v>93</v>
      </c>
      <c r="B95" s="96"/>
      <c r="C95" s="110">
        <v>1069999100</v>
      </c>
      <c r="D95" s="157">
        <v>0</v>
      </c>
      <c r="E95" s="97">
        <v>0</v>
      </c>
      <c r="F95" s="97"/>
      <c r="G95" s="97"/>
      <c r="H95" s="97">
        <v>0</v>
      </c>
      <c r="I95" s="97">
        <f t="shared" si="16"/>
        <v>0</v>
      </c>
      <c r="J95" s="86">
        <f t="shared" si="19"/>
        <v>0</v>
      </c>
      <c r="K95" s="98">
        <f>SUM(D53:E53)</f>
        <v>0</v>
      </c>
      <c r="O95" s="85"/>
      <c r="P95" s="85"/>
      <c r="Q95" s="85"/>
      <c r="R95" s="85"/>
      <c r="W95" s="85"/>
      <c r="X95" s="86">
        <v>0</v>
      </c>
      <c r="Y95" s="86">
        <f t="shared" si="17"/>
        <v>0</v>
      </c>
      <c r="AC95" s="86">
        <v>20</v>
      </c>
      <c r="AF95" s="86">
        <f t="shared" si="18"/>
        <v>0</v>
      </c>
      <c r="AO95" s="86">
        <f t="shared" si="20"/>
        <v>0</v>
      </c>
    </row>
    <row r="96" spans="1:41" s="306" customFormat="1" x14ac:dyDescent="0.25">
      <c r="A96" s="349" t="s">
        <v>355</v>
      </c>
      <c r="B96" s="96"/>
      <c r="C96" s="96">
        <v>1080102100</v>
      </c>
      <c r="D96" s="157">
        <v>0</v>
      </c>
      <c r="E96" s="97">
        <v>0</v>
      </c>
      <c r="F96" s="350"/>
      <c r="G96" s="350"/>
      <c r="H96" s="350">
        <v>0</v>
      </c>
      <c r="I96" s="97">
        <f t="shared" si="16"/>
        <v>0</v>
      </c>
      <c r="J96" s="306">
        <f t="shared" si="19"/>
        <v>0</v>
      </c>
      <c r="K96" s="303">
        <f>SUM(D83:E83)</f>
        <v>170593.95</v>
      </c>
      <c r="O96" s="302"/>
      <c r="P96" s="302"/>
      <c r="Q96" s="302"/>
      <c r="R96" s="302"/>
      <c r="W96" s="302"/>
      <c r="X96" s="306">
        <v>0</v>
      </c>
      <c r="Y96" s="306">
        <f t="shared" si="17"/>
        <v>0</v>
      </c>
      <c r="AC96" s="306">
        <v>60</v>
      </c>
      <c r="AF96" s="306">
        <f t="shared" si="18"/>
        <v>0</v>
      </c>
      <c r="AO96" s="86">
        <f t="shared" si="20"/>
        <v>0</v>
      </c>
    </row>
    <row r="97" spans="1:41" s="86" customFormat="1" x14ac:dyDescent="0.25">
      <c r="A97" s="183" t="s">
        <v>230</v>
      </c>
      <c r="B97" s="96"/>
      <c r="C97" s="110">
        <v>1069803000</v>
      </c>
      <c r="D97" s="157">
        <v>60677988.810000002</v>
      </c>
      <c r="E97" s="97">
        <v>0</v>
      </c>
      <c r="F97" s="97"/>
      <c r="G97" s="97">
        <f>5313873</f>
        <v>5313873</v>
      </c>
      <c r="H97" s="97">
        <f>D97+F97-G97</f>
        <v>55364115.810000002</v>
      </c>
      <c r="I97" s="97"/>
      <c r="J97" s="86">
        <f t="shared" si="19"/>
        <v>60677988.810000002</v>
      </c>
      <c r="K97" s="98"/>
      <c r="O97" s="85"/>
      <c r="P97" s="85"/>
      <c r="Q97" s="85"/>
      <c r="R97" s="85"/>
      <c r="W97" s="85"/>
      <c r="AO97" s="86">
        <f t="shared" si="20"/>
        <v>5313873</v>
      </c>
    </row>
    <row r="98" spans="1:41" s="86" customFormat="1" x14ac:dyDescent="0.25">
      <c r="A98" s="183" t="s">
        <v>29</v>
      </c>
      <c r="B98" s="99"/>
      <c r="C98" s="110">
        <v>2010101000</v>
      </c>
      <c r="D98" s="157">
        <v>0</v>
      </c>
      <c r="E98" s="97">
        <v>308922018.60000002</v>
      </c>
      <c r="F98" s="97">
        <f>'[19]FC1 2024'!$N$87+'[19]FC1 2024'!$N$85+'[19]FC1 2024'!$N$84+'[19]FC1 2024'!$L$830+'[19]FC1 2024'!$N$83+'[19]FC1 2024'!$N$81+'[19]FC1 2024'!$N$86+181730+'[20]FC1 2024'!$G$105+'[2]WORKING PAPER FC1'!$BP$10+'[2]WORKING PAPER FC1'!$BP$13</f>
        <v>25444188.470000003</v>
      </c>
      <c r="G98" s="97">
        <f>'[19]FC1 2024'!$O$58+'[19]FC1 2024'!$O$56+'[19]FC1 2024'!$O$53+'[19]FC1 2024'!$O$51+'[19]FC1 2024'!$O$48+'[19]FC1 2024'!$O$39+'[19]FC1 2024'!$O$38+'[19]FC1 2024'!$O$36+'[19]FC1 2024'!$O$30+'[19]FC1 2024'!$O$28+'[19]FC1 2024'!$O$27+'[19]FC1 2024'!$O$26+'[19]FC1 2024'!$O$24+'[19]FC1 2024'!$O$23+'[19]FC1 2024'!$O$22+'[19]FC1 2024'!$O$17-195600.54-56304.78+165000-2900+112994.72+1531265.56+15833294.29+23628.39+650250.07+94200+103000+106000+6750+343400+223988.21+9800+6000-89409.28-41648.33-41648.33-15224-3082968.13+23760+45487819.02+300000+5408065.55-300000+10769713.5+17175.21+30000+14028.08+2417441.01+94800+50000+14313.89+17313+120000+94000+51431.21</f>
        <v>103439919.31999999</v>
      </c>
      <c r="H98" s="97"/>
      <c r="I98" s="97">
        <f t="shared" ref="I98:I137" si="22">E98-F98+G98</f>
        <v>386917749.44999999</v>
      </c>
      <c r="J98" s="86">
        <f t="shared" si="19"/>
        <v>308922018.60000002</v>
      </c>
      <c r="K98" s="98"/>
      <c r="O98" s="85"/>
      <c r="P98" s="85"/>
      <c r="Q98" s="85"/>
      <c r="R98" s="85"/>
      <c r="W98" s="85"/>
      <c r="X98" s="86">
        <v>0</v>
      </c>
      <c r="Y98" s="86">
        <f>D98-X98</f>
        <v>0</v>
      </c>
      <c r="AC98" s="86">
        <v>30</v>
      </c>
      <c r="AF98" s="86">
        <f t="shared" ref="AF98:AF129" si="23">D98+E98</f>
        <v>308922018.60000002</v>
      </c>
      <c r="AN98" s="90">
        <v>276937.7</v>
      </c>
      <c r="AO98" s="86">
        <f t="shared" si="20"/>
        <v>128884107.78999999</v>
      </c>
    </row>
    <row r="99" spans="1:41" s="86" customFormat="1" x14ac:dyDescent="0.25">
      <c r="A99" s="183" t="s">
        <v>222</v>
      </c>
      <c r="B99" s="99"/>
      <c r="C99" s="110">
        <v>2010107000</v>
      </c>
      <c r="D99" s="157">
        <v>0</v>
      </c>
      <c r="E99" s="97">
        <v>0</v>
      </c>
      <c r="F99" s="97"/>
      <c r="G99" s="97"/>
      <c r="H99" s="97"/>
      <c r="I99" s="97">
        <f t="shared" si="22"/>
        <v>0</v>
      </c>
      <c r="J99" s="86">
        <f t="shared" si="19"/>
        <v>0</v>
      </c>
      <c r="K99" s="98"/>
      <c r="O99" s="85"/>
      <c r="P99" s="85"/>
      <c r="Q99" s="85"/>
      <c r="R99" s="85"/>
      <c r="W99" s="85"/>
      <c r="AF99" s="86">
        <f t="shared" si="23"/>
        <v>0</v>
      </c>
      <c r="AO99" s="86">
        <f t="shared" si="20"/>
        <v>0</v>
      </c>
    </row>
    <row r="100" spans="1:41" s="86" customFormat="1" x14ac:dyDescent="0.25">
      <c r="A100" s="183" t="s">
        <v>508</v>
      </c>
      <c r="B100" s="99"/>
      <c r="C100" s="110">
        <v>2040104000</v>
      </c>
      <c r="D100" s="157">
        <v>0</v>
      </c>
      <c r="E100" s="97">
        <v>5410105.3399999999</v>
      </c>
      <c r="F100" s="97"/>
      <c r="G100" s="97"/>
      <c r="H100" s="97"/>
      <c r="I100" s="97">
        <f t="shared" si="22"/>
        <v>5410105.3399999999</v>
      </c>
      <c r="J100" s="86">
        <f t="shared" si="19"/>
        <v>5410105.3399999999</v>
      </c>
      <c r="K100" s="98"/>
      <c r="O100" s="85"/>
      <c r="P100" s="85"/>
      <c r="Q100" s="85"/>
      <c r="R100" s="85"/>
      <c r="W100" s="85"/>
      <c r="AF100" s="86">
        <f t="shared" si="23"/>
        <v>5410105.3399999999</v>
      </c>
      <c r="AO100" s="86">
        <f t="shared" si="20"/>
        <v>0</v>
      </c>
    </row>
    <row r="101" spans="1:41" s="86" customFormat="1" x14ac:dyDescent="0.25">
      <c r="A101" s="183" t="s">
        <v>30</v>
      </c>
      <c r="B101" s="99"/>
      <c r="C101" s="94">
        <v>2020101000</v>
      </c>
      <c r="D101" s="157">
        <v>0</v>
      </c>
      <c r="E101" s="97">
        <v>308426.34000000003</v>
      </c>
      <c r="F101" s="97">
        <v>34000</v>
      </c>
      <c r="G101" s="97"/>
      <c r="H101" s="97"/>
      <c r="I101" s="97">
        <f t="shared" si="22"/>
        <v>274426.34000000003</v>
      </c>
      <c r="J101" s="86">
        <f t="shared" si="19"/>
        <v>308426.34000000003</v>
      </c>
      <c r="K101" s="98"/>
      <c r="O101" s="85"/>
      <c r="P101" s="85"/>
      <c r="Q101" s="85"/>
      <c r="R101" s="85"/>
      <c r="W101" s="85"/>
      <c r="AF101" s="86">
        <f t="shared" si="23"/>
        <v>308426.34000000003</v>
      </c>
      <c r="AO101" s="86">
        <f t="shared" si="20"/>
        <v>34000</v>
      </c>
    </row>
    <row r="102" spans="1:41" s="86" customFormat="1" x14ac:dyDescent="0.25">
      <c r="A102" s="183" t="s">
        <v>31</v>
      </c>
      <c r="B102" s="96"/>
      <c r="C102" s="110">
        <v>2020102000</v>
      </c>
      <c r="D102" s="157">
        <v>0</v>
      </c>
      <c r="E102" s="97">
        <v>0</v>
      </c>
      <c r="F102" s="97"/>
      <c r="G102" s="97"/>
      <c r="H102" s="97"/>
      <c r="I102" s="97">
        <f t="shared" si="22"/>
        <v>0</v>
      </c>
      <c r="J102" s="86">
        <f t="shared" si="19"/>
        <v>0</v>
      </c>
      <c r="K102" s="98">
        <f>SUM(D61:E61)</f>
        <v>0</v>
      </c>
      <c r="O102" s="85"/>
      <c r="P102" s="85"/>
      <c r="Q102" s="85"/>
      <c r="R102" s="85"/>
      <c r="W102" s="85"/>
      <c r="AF102" s="86">
        <f t="shared" si="23"/>
        <v>0</v>
      </c>
      <c r="AO102" s="86">
        <f t="shared" si="20"/>
        <v>0</v>
      </c>
    </row>
    <row r="103" spans="1:41" s="86" customFormat="1" x14ac:dyDescent="0.25">
      <c r="A103" s="183" t="s">
        <v>391</v>
      </c>
      <c r="B103" s="99"/>
      <c r="C103" s="110">
        <v>2020102001</v>
      </c>
      <c r="D103" s="157">
        <v>0</v>
      </c>
      <c r="E103" s="97">
        <v>230490.2</v>
      </c>
      <c r="F103" s="97"/>
      <c r="G103" s="97"/>
      <c r="H103" s="97"/>
      <c r="I103" s="97">
        <f t="shared" si="22"/>
        <v>230490.2</v>
      </c>
      <c r="J103" s="86">
        <f t="shared" si="19"/>
        <v>230490.2</v>
      </c>
      <c r="K103" s="98"/>
      <c r="O103" s="85"/>
      <c r="P103" s="85"/>
      <c r="Q103" s="85"/>
      <c r="R103" s="85"/>
      <c r="W103" s="85"/>
      <c r="X103" s="86">
        <v>0</v>
      </c>
      <c r="Y103" s="86">
        <f>D103-X103</f>
        <v>0</v>
      </c>
      <c r="AF103" s="86">
        <f t="shared" si="23"/>
        <v>230490.2</v>
      </c>
      <c r="AO103" s="86">
        <f t="shared" si="20"/>
        <v>0</v>
      </c>
    </row>
    <row r="104" spans="1:41" s="86" customFormat="1" x14ac:dyDescent="0.25">
      <c r="A104" s="183" t="s">
        <v>392</v>
      </c>
      <c r="B104" s="99"/>
      <c r="C104" s="110">
        <v>2020102002</v>
      </c>
      <c r="D104" s="157">
        <v>0</v>
      </c>
      <c r="E104" s="97">
        <v>1749.11</v>
      </c>
      <c r="F104" s="97"/>
      <c r="G104" s="97"/>
      <c r="H104" s="97"/>
      <c r="I104" s="97">
        <f t="shared" si="22"/>
        <v>1749.11</v>
      </c>
      <c r="J104" s="86">
        <f t="shared" si="19"/>
        <v>1749.11</v>
      </c>
      <c r="K104" s="98"/>
      <c r="O104" s="85"/>
      <c r="P104" s="85"/>
      <c r="Q104" s="85"/>
      <c r="R104" s="85"/>
      <c r="W104" s="85"/>
      <c r="AF104" s="86">
        <f t="shared" si="23"/>
        <v>1749.11</v>
      </c>
      <c r="AO104" s="86">
        <f t="shared" si="20"/>
        <v>0</v>
      </c>
    </row>
    <row r="105" spans="1:41" s="86" customFormat="1" x14ac:dyDescent="0.25">
      <c r="A105" s="183" t="s">
        <v>393</v>
      </c>
      <c r="B105" s="99"/>
      <c r="C105" s="110">
        <v>2020102003</v>
      </c>
      <c r="D105" s="157">
        <v>0</v>
      </c>
      <c r="E105" s="97">
        <v>505843.57</v>
      </c>
      <c r="F105" s="97"/>
      <c r="G105" s="97"/>
      <c r="H105" s="97"/>
      <c r="I105" s="97">
        <f t="shared" si="22"/>
        <v>505843.57</v>
      </c>
      <c r="J105" s="86">
        <f t="shared" si="19"/>
        <v>505843.57</v>
      </c>
      <c r="K105" s="98"/>
      <c r="O105" s="85"/>
      <c r="P105" s="85"/>
      <c r="Q105" s="85"/>
      <c r="R105" s="85"/>
      <c r="W105" s="85"/>
      <c r="AF105" s="86">
        <f t="shared" si="23"/>
        <v>505843.57</v>
      </c>
      <c r="AO105" s="86">
        <f t="shared" si="20"/>
        <v>0</v>
      </c>
    </row>
    <row r="106" spans="1:41" s="86" customFormat="1" x14ac:dyDescent="0.25">
      <c r="A106" s="183" t="s">
        <v>394</v>
      </c>
      <c r="B106" s="96"/>
      <c r="C106" s="110">
        <v>2020102004</v>
      </c>
      <c r="D106" s="157">
        <v>0</v>
      </c>
      <c r="E106" s="97">
        <v>79976.34</v>
      </c>
      <c r="F106" s="97"/>
      <c r="G106" s="97"/>
      <c r="H106" s="97"/>
      <c r="I106" s="97">
        <f t="shared" si="22"/>
        <v>79976.34</v>
      </c>
      <c r="J106" s="86">
        <f t="shared" si="19"/>
        <v>79976.34</v>
      </c>
      <c r="K106" s="98">
        <f>SUM(D63:E63)</f>
        <v>0</v>
      </c>
      <c r="O106" s="85"/>
      <c r="P106" s="85"/>
      <c r="Q106" s="85"/>
      <c r="R106" s="85"/>
      <c r="W106" s="85"/>
      <c r="AF106" s="86">
        <f t="shared" si="23"/>
        <v>79976.34</v>
      </c>
      <c r="AO106" s="86">
        <f t="shared" si="20"/>
        <v>0</v>
      </c>
    </row>
    <row r="107" spans="1:41" s="86" customFormat="1" x14ac:dyDescent="0.25">
      <c r="A107" s="183" t="s">
        <v>32</v>
      </c>
      <c r="B107" s="96"/>
      <c r="C107" s="110">
        <v>2020103000</v>
      </c>
      <c r="D107" s="157">
        <v>0</v>
      </c>
      <c r="E107" s="97">
        <v>0</v>
      </c>
      <c r="F107" s="97"/>
      <c r="G107" s="97"/>
      <c r="H107" s="97"/>
      <c r="I107" s="97">
        <f t="shared" si="22"/>
        <v>0</v>
      </c>
      <c r="J107" s="86">
        <f t="shared" si="19"/>
        <v>0</v>
      </c>
      <c r="K107" s="98">
        <f>SUM(D65:E65)</f>
        <v>14367994.039999999</v>
      </c>
      <c r="O107" s="85"/>
      <c r="P107" s="85"/>
      <c r="Q107" s="85"/>
      <c r="R107" s="85"/>
      <c r="W107" s="85"/>
      <c r="X107" s="86">
        <v>0</v>
      </c>
      <c r="Y107" s="86">
        <f t="shared" ref="Y107:Y138" si="24">D107-X107</f>
        <v>0</v>
      </c>
      <c r="AC107" s="86">
        <f>SUM(AC94:AC103)</f>
        <v>190</v>
      </c>
      <c r="AF107" s="86">
        <f t="shared" si="23"/>
        <v>0</v>
      </c>
      <c r="AO107" s="86">
        <f t="shared" si="20"/>
        <v>0</v>
      </c>
    </row>
    <row r="108" spans="1:41" s="86" customFormat="1" x14ac:dyDescent="0.25">
      <c r="A108" s="183" t="s">
        <v>395</v>
      </c>
      <c r="B108" s="96"/>
      <c r="C108" s="110">
        <v>2020103001</v>
      </c>
      <c r="D108" s="157">
        <v>0</v>
      </c>
      <c r="E108" s="97">
        <v>429462.1</v>
      </c>
      <c r="F108" s="97"/>
      <c r="G108" s="97"/>
      <c r="H108" s="97"/>
      <c r="I108" s="97">
        <f t="shared" si="22"/>
        <v>429462.1</v>
      </c>
      <c r="J108" s="86">
        <f t="shared" si="19"/>
        <v>429462.1</v>
      </c>
      <c r="K108" s="98">
        <f>SUM(D67:E67)</f>
        <v>7834252.96</v>
      </c>
      <c r="O108" s="85"/>
      <c r="P108" s="85"/>
      <c r="Q108" s="85"/>
      <c r="R108" s="85"/>
      <c r="W108" s="85"/>
      <c r="X108" s="86">
        <v>0</v>
      </c>
      <c r="Y108" s="86">
        <f t="shared" si="24"/>
        <v>0</v>
      </c>
      <c r="AF108" s="86">
        <f t="shared" si="23"/>
        <v>429462.1</v>
      </c>
      <c r="AO108" s="86">
        <f t="shared" si="20"/>
        <v>0</v>
      </c>
    </row>
    <row r="109" spans="1:41" s="86" customFormat="1" x14ac:dyDescent="0.25">
      <c r="A109" s="183" t="s">
        <v>396</v>
      </c>
      <c r="B109" s="96"/>
      <c r="C109" s="110">
        <v>2020103002</v>
      </c>
      <c r="D109" s="157">
        <v>0</v>
      </c>
      <c r="E109" s="97">
        <v>801868.97</v>
      </c>
      <c r="F109" s="97"/>
      <c r="G109" s="97"/>
      <c r="H109" s="97"/>
      <c r="I109" s="97">
        <f t="shared" si="22"/>
        <v>801868.97</v>
      </c>
      <c r="J109" s="86">
        <f t="shared" si="19"/>
        <v>801868.97</v>
      </c>
      <c r="K109" s="98">
        <f>SUM(D69:E69)</f>
        <v>0</v>
      </c>
      <c r="O109" s="85"/>
      <c r="P109" s="85"/>
      <c r="Q109" s="85"/>
      <c r="R109" s="85"/>
      <c r="W109" s="85"/>
      <c r="X109" s="86">
        <v>0</v>
      </c>
      <c r="Y109" s="86">
        <f t="shared" si="24"/>
        <v>0</v>
      </c>
      <c r="AF109" s="86">
        <f t="shared" si="23"/>
        <v>801868.97</v>
      </c>
      <c r="AO109" s="86">
        <f t="shared" si="20"/>
        <v>0</v>
      </c>
    </row>
    <row r="110" spans="1:41" s="86" customFormat="1" x14ac:dyDescent="0.25">
      <c r="A110" s="183" t="s">
        <v>397</v>
      </c>
      <c r="B110" s="96"/>
      <c r="C110" s="110">
        <v>2020103003</v>
      </c>
      <c r="D110" s="157">
        <v>0</v>
      </c>
      <c r="E110" s="97">
        <v>30210.799999999999</v>
      </c>
      <c r="F110" s="97"/>
      <c r="G110" s="97"/>
      <c r="H110" s="97"/>
      <c r="I110" s="97">
        <f t="shared" si="22"/>
        <v>30210.799999999999</v>
      </c>
      <c r="J110" s="86">
        <f t="shared" si="19"/>
        <v>30210.799999999999</v>
      </c>
      <c r="K110" s="98">
        <f>SUM(D71:E71)</f>
        <v>305078.56</v>
      </c>
      <c r="O110" s="85"/>
      <c r="P110" s="85"/>
      <c r="Q110" s="85"/>
      <c r="R110" s="85"/>
      <c r="W110" s="85"/>
      <c r="X110" s="86">
        <v>0</v>
      </c>
      <c r="Y110" s="86">
        <f t="shared" si="24"/>
        <v>0</v>
      </c>
      <c r="AF110" s="86">
        <f t="shared" si="23"/>
        <v>30210.799999999999</v>
      </c>
      <c r="AO110" s="86">
        <f t="shared" si="20"/>
        <v>0</v>
      </c>
    </row>
    <row r="111" spans="1:41" s="86" customFormat="1" ht="16.5" customHeight="1" x14ac:dyDescent="0.25">
      <c r="A111" s="183" t="s">
        <v>33</v>
      </c>
      <c r="B111" s="96"/>
      <c r="C111" s="110">
        <v>2020104000</v>
      </c>
      <c r="D111" s="157">
        <v>0</v>
      </c>
      <c r="E111" s="97">
        <v>2737841.9</v>
      </c>
      <c r="F111" s="97"/>
      <c r="G111" s="97"/>
      <c r="H111" s="97"/>
      <c r="I111" s="97">
        <f t="shared" si="22"/>
        <v>2737841.9</v>
      </c>
      <c r="J111" s="86">
        <f t="shared" si="19"/>
        <v>2737841.9</v>
      </c>
      <c r="K111" s="98">
        <f>SUM(D73:E73)</f>
        <v>46844541.759999998</v>
      </c>
      <c r="O111" s="85"/>
      <c r="P111" s="85"/>
      <c r="Q111" s="85"/>
      <c r="R111" s="85"/>
      <c r="W111" s="85"/>
      <c r="X111" s="86">
        <v>0</v>
      </c>
      <c r="Y111" s="86">
        <f t="shared" si="24"/>
        <v>0</v>
      </c>
      <c r="AF111" s="86">
        <f t="shared" si="23"/>
        <v>2737841.9</v>
      </c>
      <c r="AO111" s="86">
        <f t="shared" si="20"/>
        <v>0</v>
      </c>
    </row>
    <row r="112" spans="1:41" s="86" customFormat="1" ht="16.5" customHeight="1" x14ac:dyDescent="0.25">
      <c r="A112" s="183" t="s">
        <v>492</v>
      </c>
      <c r="B112" s="96"/>
      <c r="C112" s="110">
        <v>2020105000</v>
      </c>
      <c r="D112" s="157">
        <v>0</v>
      </c>
      <c r="E112" s="97">
        <v>210000</v>
      </c>
      <c r="F112" s="97"/>
      <c r="G112" s="97"/>
      <c r="H112" s="97"/>
      <c r="I112" s="97">
        <f t="shared" si="22"/>
        <v>210000</v>
      </c>
      <c r="J112" s="86">
        <f t="shared" si="19"/>
        <v>210000</v>
      </c>
      <c r="K112" s="98">
        <f>SUM(D75:E75)</f>
        <v>997450</v>
      </c>
      <c r="O112" s="85"/>
      <c r="P112" s="85"/>
      <c r="Q112" s="85"/>
      <c r="R112" s="85"/>
      <c r="W112" s="85"/>
      <c r="X112" s="86">
        <v>0</v>
      </c>
      <c r="Y112" s="86">
        <f t="shared" si="24"/>
        <v>0</v>
      </c>
      <c r="AF112" s="86">
        <f t="shared" si="23"/>
        <v>210000</v>
      </c>
      <c r="AO112" s="86">
        <f t="shared" si="20"/>
        <v>0</v>
      </c>
    </row>
    <row r="113" spans="1:41" s="86" customFormat="1" ht="16.5" customHeight="1" x14ac:dyDescent="0.25">
      <c r="A113" s="183" t="s">
        <v>493</v>
      </c>
      <c r="B113" s="96"/>
      <c r="C113" s="110">
        <v>2020106000</v>
      </c>
      <c r="D113" s="157">
        <v>0</v>
      </c>
      <c r="E113" s="97">
        <v>2550882.08</v>
      </c>
      <c r="F113" s="97"/>
      <c r="G113" s="97"/>
      <c r="H113" s="97"/>
      <c r="I113" s="97">
        <f t="shared" si="22"/>
        <v>2550882.08</v>
      </c>
      <c r="J113" s="86">
        <f t="shared" si="19"/>
        <v>2550882.08</v>
      </c>
      <c r="K113" s="98">
        <f>SUM(D77:E77)</f>
        <v>153261.57</v>
      </c>
      <c r="O113" s="85"/>
      <c r="P113" s="85"/>
      <c r="Q113" s="85"/>
      <c r="R113" s="85"/>
      <c r="W113" s="85"/>
      <c r="X113" s="86">
        <v>0</v>
      </c>
      <c r="Y113" s="86">
        <f t="shared" si="24"/>
        <v>0</v>
      </c>
      <c r="AF113" s="86">
        <f t="shared" si="23"/>
        <v>2550882.08</v>
      </c>
      <c r="AO113" s="86">
        <f t="shared" si="20"/>
        <v>0</v>
      </c>
    </row>
    <row r="114" spans="1:41" s="86" customFormat="1" x14ac:dyDescent="0.25">
      <c r="A114" s="183" t="s">
        <v>494</v>
      </c>
      <c r="B114" s="96"/>
      <c r="C114" s="110">
        <v>2020107000</v>
      </c>
      <c r="D114" s="157">
        <v>0</v>
      </c>
      <c r="E114" s="97">
        <v>10045601.93</v>
      </c>
      <c r="F114" s="97"/>
      <c r="G114" s="97"/>
      <c r="H114" s="97"/>
      <c r="I114" s="97">
        <f t="shared" si="22"/>
        <v>10045601.93</v>
      </c>
      <c r="J114" s="86">
        <f t="shared" si="19"/>
        <v>10045601.93</v>
      </c>
      <c r="K114" s="98">
        <f>SUM(D85:E85)</f>
        <v>11188319.699999999</v>
      </c>
      <c r="O114" s="85"/>
      <c r="P114" s="85"/>
      <c r="Q114" s="85"/>
      <c r="R114" s="85"/>
      <c r="W114" s="85"/>
      <c r="X114" s="86">
        <v>0</v>
      </c>
      <c r="Y114" s="86">
        <f t="shared" si="24"/>
        <v>0</v>
      </c>
      <c r="AF114" s="86">
        <f t="shared" si="23"/>
        <v>10045601.93</v>
      </c>
      <c r="AO114" s="86">
        <f t="shared" si="20"/>
        <v>0</v>
      </c>
    </row>
    <row r="115" spans="1:41" s="86" customFormat="1" ht="16.5" customHeight="1" x14ac:dyDescent="0.25">
      <c r="A115" s="183" t="s">
        <v>35</v>
      </c>
      <c r="B115" s="96"/>
      <c r="C115" s="110">
        <v>2030101000</v>
      </c>
      <c r="D115" s="157">
        <v>0</v>
      </c>
      <c r="E115" s="97">
        <v>0</v>
      </c>
      <c r="F115" s="97"/>
      <c r="G115" s="97"/>
      <c r="H115" s="97"/>
      <c r="I115" s="97">
        <f t="shared" si="22"/>
        <v>0</v>
      </c>
      <c r="J115" s="86">
        <f t="shared" si="19"/>
        <v>0</v>
      </c>
      <c r="K115" s="98">
        <f>SUM(D83:E83)</f>
        <v>170593.95</v>
      </c>
      <c r="O115" s="85"/>
      <c r="P115" s="85"/>
      <c r="Q115" s="85"/>
      <c r="R115" s="85"/>
      <c r="W115" s="85"/>
      <c r="X115" s="86">
        <v>0</v>
      </c>
      <c r="Y115" s="86">
        <f t="shared" si="24"/>
        <v>0</v>
      </c>
      <c r="AF115" s="86">
        <f t="shared" si="23"/>
        <v>0</v>
      </c>
      <c r="AO115" s="86">
        <f t="shared" si="20"/>
        <v>0</v>
      </c>
    </row>
    <row r="116" spans="1:41" s="86" customFormat="1" x14ac:dyDescent="0.25">
      <c r="A116" s="183" t="s">
        <v>221</v>
      </c>
      <c r="B116" s="96"/>
      <c r="C116" s="110">
        <v>2030103000</v>
      </c>
      <c r="D116" s="157">
        <v>0</v>
      </c>
      <c r="E116" s="97">
        <v>0</v>
      </c>
      <c r="F116" s="97"/>
      <c r="G116" s="97"/>
      <c r="H116" s="97"/>
      <c r="I116" s="97">
        <f t="shared" si="22"/>
        <v>0</v>
      </c>
      <c r="J116" s="86">
        <f t="shared" si="19"/>
        <v>0</v>
      </c>
      <c r="K116" s="98">
        <f>SUM(D78:E78)</f>
        <v>1337586.6000000001</v>
      </c>
      <c r="O116" s="85"/>
      <c r="P116" s="85"/>
      <c r="Q116" s="85"/>
      <c r="R116" s="85"/>
      <c r="W116" s="85"/>
      <c r="X116" s="86">
        <v>0</v>
      </c>
      <c r="Y116" s="86">
        <f t="shared" si="24"/>
        <v>0</v>
      </c>
      <c r="AF116" s="86">
        <f t="shared" si="23"/>
        <v>0</v>
      </c>
      <c r="AO116" s="86">
        <f t="shared" si="20"/>
        <v>0</v>
      </c>
    </row>
    <row r="117" spans="1:41" s="86" customFormat="1" x14ac:dyDescent="0.25">
      <c r="A117" s="183" t="s">
        <v>353</v>
      </c>
      <c r="B117" s="96"/>
      <c r="C117" s="110">
        <v>2030105000</v>
      </c>
      <c r="D117" s="157">
        <v>0</v>
      </c>
      <c r="E117" s="97">
        <v>0</v>
      </c>
      <c r="F117" s="97"/>
      <c r="G117" s="97"/>
      <c r="H117" s="97"/>
      <c r="I117" s="97">
        <f t="shared" si="22"/>
        <v>0</v>
      </c>
      <c r="J117" s="86">
        <f t="shared" si="19"/>
        <v>0</v>
      </c>
      <c r="K117" s="98">
        <f>SUM(D95:E95)</f>
        <v>0</v>
      </c>
      <c r="O117" s="85"/>
      <c r="P117" s="85"/>
      <c r="Q117" s="85"/>
      <c r="R117" s="85"/>
      <c r="W117" s="85"/>
      <c r="X117" s="86">
        <v>0</v>
      </c>
      <c r="Y117" s="86">
        <f t="shared" si="24"/>
        <v>0</v>
      </c>
      <c r="AF117" s="86">
        <f t="shared" si="23"/>
        <v>0</v>
      </c>
      <c r="AO117" s="86">
        <f t="shared" si="20"/>
        <v>0</v>
      </c>
    </row>
    <row r="118" spans="1:41" s="86" customFormat="1" ht="31.5" x14ac:dyDescent="0.25">
      <c r="A118" s="183" t="s">
        <v>219</v>
      </c>
      <c r="B118" s="96"/>
      <c r="C118" s="110">
        <v>2040102000</v>
      </c>
      <c r="D118" s="157">
        <v>0</v>
      </c>
      <c r="E118" s="97">
        <v>0</v>
      </c>
      <c r="F118" s="97"/>
      <c r="G118" s="97"/>
      <c r="H118" s="97"/>
      <c r="I118" s="97">
        <f t="shared" si="22"/>
        <v>0</v>
      </c>
      <c r="J118" s="86">
        <f t="shared" si="19"/>
        <v>0</v>
      </c>
      <c r="K118" s="98">
        <f>SUM(D114:E114)</f>
        <v>10045601.93</v>
      </c>
      <c r="O118" s="85"/>
      <c r="P118" s="85"/>
      <c r="Q118" s="85"/>
      <c r="R118" s="85"/>
      <c r="W118" s="85"/>
      <c r="X118" s="86">
        <v>0</v>
      </c>
      <c r="Y118" s="86">
        <f t="shared" si="24"/>
        <v>0</v>
      </c>
      <c r="AF118" s="86">
        <f t="shared" si="23"/>
        <v>0</v>
      </c>
      <c r="AN118" s="86">
        <f>I118-[11]FC1SGE!L15</f>
        <v>-232601054.49999791</v>
      </c>
      <c r="AO118" s="86">
        <f t="shared" si="20"/>
        <v>0</v>
      </c>
    </row>
    <row r="119" spans="1:41" s="86" customFormat="1" x14ac:dyDescent="0.25">
      <c r="A119" s="183" t="s">
        <v>37</v>
      </c>
      <c r="B119" s="96"/>
      <c r="C119" s="110">
        <v>2999999000</v>
      </c>
      <c r="D119" s="157">
        <v>0</v>
      </c>
      <c r="E119" s="97">
        <v>7335320.1699999999</v>
      </c>
      <c r="F119" s="97"/>
      <c r="G119" s="97"/>
      <c r="H119" s="97"/>
      <c r="I119" s="97">
        <f t="shared" si="22"/>
        <v>7335320.1699999999</v>
      </c>
      <c r="J119" s="86">
        <f t="shared" si="19"/>
        <v>7335320.1699999999</v>
      </c>
      <c r="K119" s="98">
        <f>SUM(D96:E96)</f>
        <v>0</v>
      </c>
      <c r="O119" s="85"/>
      <c r="P119" s="85"/>
      <c r="Q119" s="85"/>
      <c r="R119" s="85"/>
      <c r="S119" s="86">
        <v>59300.309999999983</v>
      </c>
      <c r="U119" s="86">
        <f>E96-S119</f>
        <v>-59300.309999999983</v>
      </c>
      <c r="W119" s="85"/>
      <c r="X119" s="86">
        <v>0</v>
      </c>
      <c r="Y119" s="86">
        <f t="shared" si="24"/>
        <v>0</v>
      </c>
      <c r="AF119" s="86">
        <f t="shared" si="23"/>
        <v>7335320.1699999999</v>
      </c>
      <c r="AO119" s="86">
        <f t="shared" si="20"/>
        <v>0</v>
      </c>
    </row>
    <row r="120" spans="1:41" s="86" customFormat="1" x14ac:dyDescent="0.25">
      <c r="A120" s="183" t="s">
        <v>243</v>
      </c>
      <c r="B120" s="96"/>
      <c r="C120" s="110">
        <v>3010101000</v>
      </c>
      <c r="D120" s="157">
        <v>0</v>
      </c>
      <c r="E120" s="97">
        <v>232111054.5</v>
      </c>
      <c r="F120" s="97">
        <f>502847.38+5313873+11024.93+314445.4+26113506.54+109917.03</f>
        <v>32365614.280000001</v>
      </c>
      <c r="G120" s="97">
        <f>490000+34000+21720897.24+314445.4+'[20]FC1 2024'!$G$105+'[2]WORKING PAPER FC1'!$BP$10</f>
        <v>36136478.419999994</v>
      </c>
      <c r="H120" s="97"/>
      <c r="I120" s="97">
        <f t="shared" si="22"/>
        <v>235881918.63999999</v>
      </c>
      <c r="J120" s="86">
        <f t="shared" ref="J120:J151" si="25">D120+E120</f>
        <v>232111054.5</v>
      </c>
      <c r="K120" s="98">
        <f>SUM(D102:E102)</f>
        <v>0</v>
      </c>
      <c r="O120" s="85"/>
      <c r="P120" s="85"/>
      <c r="Q120" s="85"/>
      <c r="R120" s="85"/>
      <c r="W120" s="85"/>
      <c r="X120" s="86">
        <v>0</v>
      </c>
      <c r="Y120" s="86">
        <f t="shared" si="24"/>
        <v>0</v>
      </c>
      <c r="AF120" s="86">
        <f t="shared" si="23"/>
        <v>232111054.5</v>
      </c>
      <c r="AO120" s="86">
        <f t="shared" ref="AO120:AO151" si="26">F120+G120</f>
        <v>68502092.699999988</v>
      </c>
    </row>
    <row r="121" spans="1:41" s="86" customFormat="1" x14ac:dyDescent="0.25">
      <c r="A121" s="183" t="s">
        <v>111</v>
      </c>
      <c r="B121" s="96"/>
      <c r="C121" s="110">
        <v>4020106000</v>
      </c>
      <c r="D121" s="157">
        <v>0</v>
      </c>
      <c r="E121" s="97">
        <v>8000</v>
      </c>
      <c r="F121" s="97"/>
      <c r="G121" s="97"/>
      <c r="H121" s="97"/>
      <c r="I121" s="97">
        <f t="shared" si="22"/>
        <v>8000</v>
      </c>
      <c r="J121" s="86">
        <f t="shared" si="25"/>
        <v>8000</v>
      </c>
      <c r="K121" s="98">
        <f>SUM(D106:E106)</f>
        <v>79976.34</v>
      </c>
      <c r="O121" s="85"/>
      <c r="P121" s="85"/>
      <c r="Q121" s="85"/>
      <c r="R121" s="85"/>
      <c r="W121" s="85"/>
      <c r="X121" s="86">
        <v>0</v>
      </c>
      <c r="Y121" s="86">
        <f t="shared" si="24"/>
        <v>0</v>
      </c>
      <c r="AF121" s="86">
        <f t="shared" si="23"/>
        <v>8000</v>
      </c>
      <c r="AO121" s="86">
        <f t="shared" si="26"/>
        <v>0</v>
      </c>
    </row>
    <row r="122" spans="1:41" s="86" customFormat="1" ht="16.5" customHeight="1" x14ac:dyDescent="0.25">
      <c r="A122" s="183" t="s">
        <v>112</v>
      </c>
      <c r="B122" s="96"/>
      <c r="C122" s="110">
        <v>4020101099</v>
      </c>
      <c r="D122" s="157">
        <v>0</v>
      </c>
      <c r="E122" s="97">
        <v>3500</v>
      </c>
      <c r="F122" s="97"/>
      <c r="G122" s="97"/>
      <c r="H122" s="97"/>
      <c r="I122" s="97">
        <f t="shared" si="22"/>
        <v>3500</v>
      </c>
      <c r="J122" s="86">
        <f t="shared" si="25"/>
        <v>3500</v>
      </c>
      <c r="K122" s="98">
        <f>SUM(D100:E100)</f>
        <v>5410105.3399999999</v>
      </c>
      <c r="O122" s="85"/>
      <c r="P122" s="85"/>
      <c r="Q122" s="85"/>
      <c r="R122" s="85"/>
      <c r="W122" s="85"/>
      <c r="X122" s="86">
        <v>0</v>
      </c>
      <c r="Y122" s="86">
        <f t="shared" si="24"/>
        <v>0</v>
      </c>
      <c r="AF122" s="86">
        <f t="shared" si="23"/>
        <v>3500</v>
      </c>
      <c r="AO122" s="86">
        <f t="shared" si="26"/>
        <v>0</v>
      </c>
    </row>
    <row r="123" spans="1:41" s="86" customFormat="1" ht="16.5" customHeight="1" x14ac:dyDescent="0.25">
      <c r="A123" s="183" t="s">
        <v>113</v>
      </c>
      <c r="B123" s="96"/>
      <c r="C123" s="110">
        <v>4020102000</v>
      </c>
      <c r="D123" s="157">
        <v>0</v>
      </c>
      <c r="E123" s="97">
        <v>12000</v>
      </c>
      <c r="F123" s="97"/>
      <c r="G123" s="97"/>
      <c r="H123" s="97"/>
      <c r="I123" s="97">
        <f t="shared" si="22"/>
        <v>12000</v>
      </c>
      <c r="J123" s="86">
        <f t="shared" si="25"/>
        <v>12000</v>
      </c>
      <c r="K123" s="98"/>
      <c r="O123" s="85"/>
      <c r="P123" s="85"/>
      <c r="Q123" s="85"/>
      <c r="R123" s="85"/>
      <c r="W123" s="85"/>
      <c r="X123" s="86">
        <v>0</v>
      </c>
      <c r="Y123" s="86">
        <f t="shared" si="24"/>
        <v>0</v>
      </c>
      <c r="AF123" s="86">
        <f t="shared" si="23"/>
        <v>12000</v>
      </c>
      <c r="AO123" s="86">
        <f t="shared" si="26"/>
        <v>0</v>
      </c>
    </row>
    <row r="124" spans="1:41" s="86" customFormat="1" ht="16.5" customHeight="1" x14ac:dyDescent="0.25">
      <c r="A124" s="183" t="s">
        <v>203</v>
      </c>
      <c r="B124" s="96"/>
      <c r="C124" s="110">
        <v>4020104001</v>
      </c>
      <c r="D124" s="157">
        <v>0</v>
      </c>
      <c r="E124" s="97">
        <v>386100</v>
      </c>
      <c r="F124" s="97"/>
      <c r="G124" s="97"/>
      <c r="H124" s="97"/>
      <c r="I124" s="97">
        <f t="shared" si="22"/>
        <v>386100</v>
      </c>
      <c r="J124" s="86">
        <f t="shared" si="25"/>
        <v>386100</v>
      </c>
      <c r="K124" s="98"/>
      <c r="O124" s="85"/>
      <c r="P124" s="85"/>
      <c r="Q124" s="85"/>
      <c r="R124" s="85"/>
      <c r="W124" s="85"/>
      <c r="X124" s="86">
        <v>0</v>
      </c>
      <c r="Y124" s="86">
        <f t="shared" si="24"/>
        <v>0</v>
      </c>
      <c r="AF124" s="86">
        <f t="shared" si="23"/>
        <v>386100</v>
      </c>
      <c r="AO124" s="86">
        <f t="shared" si="26"/>
        <v>0</v>
      </c>
    </row>
    <row r="125" spans="1:41" s="86" customFormat="1" x14ac:dyDescent="0.25">
      <c r="A125" s="183" t="s">
        <v>218</v>
      </c>
      <c r="B125" s="96"/>
      <c r="C125" s="110">
        <v>4030101000</v>
      </c>
      <c r="D125" s="157">
        <v>0</v>
      </c>
      <c r="E125" s="97">
        <v>7271006757.5699997</v>
      </c>
      <c r="F125" s="97"/>
      <c r="G125" s="97"/>
      <c r="H125" s="97"/>
      <c r="I125" s="97">
        <f t="shared" si="22"/>
        <v>7271006757.5699997</v>
      </c>
      <c r="J125" s="86">
        <f t="shared" si="25"/>
        <v>7271006757.5699997</v>
      </c>
      <c r="K125" s="98">
        <f>SUM(D104:E104)</f>
        <v>1749.11</v>
      </c>
      <c r="O125" s="85"/>
      <c r="P125" s="85"/>
      <c r="Q125" s="85"/>
      <c r="R125" s="85"/>
      <c r="W125" s="85"/>
      <c r="X125" s="86">
        <v>0</v>
      </c>
      <c r="Y125" s="86">
        <f t="shared" si="24"/>
        <v>0</v>
      </c>
      <c r="AA125" s="86">
        <f>E117</f>
        <v>0</v>
      </c>
      <c r="AF125" s="86">
        <f t="shared" si="23"/>
        <v>7271006757.5699997</v>
      </c>
      <c r="AO125" s="86">
        <f t="shared" si="26"/>
        <v>0</v>
      </c>
    </row>
    <row r="126" spans="1:41" s="86" customFormat="1" ht="16.5" customHeight="1" x14ac:dyDescent="0.25">
      <c r="A126" s="183" t="s">
        <v>451</v>
      </c>
      <c r="B126" s="96"/>
      <c r="C126" s="110">
        <v>4030102000</v>
      </c>
      <c r="D126" s="157">
        <v>0</v>
      </c>
      <c r="E126" s="97">
        <v>0</v>
      </c>
      <c r="F126" s="97"/>
      <c r="G126" s="97"/>
      <c r="H126" s="97"/>
      <c r="I126" s="97">
        <f t="shared" si="22"/>
        <v>0</v>
      </c>
      <c r="J126" s="86">
        <f t="shared" si="25"/>
        <v>0</v>
      </c>
      <c r="K126" s="98">
        <f>SUM(D105:E105)</f>
        <v>505843.57</v>
      </c>
      <c r="O126" s="85"/>
      <c r="P126" s="85"/>
      <c r="Q126" s="85"/>
      <c r="R126" s="85"/>
      <c r="W126" s="85"/>
      <c r="X126" s="86">
        <v>0</v>
      </c>
      <c r="Y126" s="86">
        <f t="shared" si="24"/>
        <v>0</v>
      </c>
      <c r="AF126" s="86">
        <f t="shared" si="23"/>
        <v>0</v>
      </c>
      <c r="AO126" s="86">
        <f t="shared" si="26"/>
        <v>0</v>
      </c>
    </row>
    <row r="127" spans="1:41" s="86" customFormat="1" ht="16.5" customHeight="1" x14ac:dyDescent="0.25">
      <c r="A127" s="183" t="s">
        <v>358</v>
      </c>
      <c r="B127" s="96"/>
      <c r="C127" s="110">
        <v>4030106000</v>
      </c>
      <c r="D127" s="157">
        <v>0</v>
      </c>
      <c r="E127" s="97">
        <v>96170470.989999995</v>
      </c>
      <c r="F127" s="97">
        <v>907500</v>
      </c>
      <c r="G127" s="97"/>
      <c r="H127" s="97"/>
      <c r="I127" s="97">
        <f t="shared" si="22"/>
        <v>95262970.989999995</v>
      </c>
      <c r="J127" s="86">
        <f t="shared" si="25"/>
        <v>96170470.989999995</v>
      </c>
      <c r="K127" s="98">
        <f>SUM(D106:E106)</f>
        <v>79976.34</v>
      </c>
      <c r="O127" s="85"/>
      <c r="P127" s="85"/>
      <c r="Q127" s="85"/>
      <c r="R127" s="85"/>
      <c r="W127" s="85"/>
      <c r="X127" s="86">
        <v>0</v>
      </c>
      <c r="Y127" s="86">
        <f t="shared" si="24"/>
        <v>0</v>
      </c>
      <c r="AF127" s="86">
        <f t="shared" si="23"/>
        <v>96170470.989999995</v>
      </c>
      <c r="AO127" s="86">
        <f t="shared" si="26"/>
        <v>907500</v>
      </c>
    </row>
    <row r="128" spans="1:41" s="86" customFormat="1" ht="16.5" customHeight="1" x14ac:dyDescent="0.25">
      <c r="A128" s="183" t="s">
        <v>444</v>
      </c>
      <c r="B128" s="96"/>
      <c r="C128" s="110">
        <v>4030107000</v>
      </c>
      <c r="D128" s="157">
        <v>0</v>
      </c>
      <c r="E128" s="97">
        <v>14004818.08</v>
      </c>
      <c r="F128" s="97"/>
      <c r="G128" s="97"/>
      <c r="H128" s="97"/>
      <c r="I128" s="97">
        <f t="shared" si="22"/>
        <v>14004818.08</v>
      </c>
      <c r="J128" s="86">
        <f t="shared" si="25"/>
        <v>14004818.08</v>
      </c>
      <c r="K128" s="98"/>
      <c r="O128" s="85"/>
      <c r="P128" s="85"/>
      <c r="Q128" s="85"/>
      <c r="R128" s="85"/>
      <c r="W128" s="85"/>
      <c r="X128" s="86">
        <v>0</v>
      </c>
      <c r="Y128" s="86">
        <f t="shared" si="24"/>
        <v>0</v>
      </c>
      <c r="AF128" s="86">
        <f t="shared" si="23"/>
        <v>14004818.08</v>
      </c>
      <c r="AO128" s="86">
        <f t="shared" si="26"/>
        <v>0</v>
      </c>
    </row>
    <row r="129" spans="1:41" s="86" customFormat="1" x14ac:dyDescent="0.25">
      <c r="A129" s="183" t="s">
        <v>114</v>
      </c>
      <c r="B129" s="96"/>
      <c r="C129" s="110">
        <v>4040201000</v>
      </c>
      <c r="D129" s="157">
        <v>0</v>
      </c>
      <c r="E129" s="97">
        <v>19000</v>
      </c>
      <c r="F129" s="97"/>
      <c r="G129" s="97"/>
      <c r="H129" s="97"/>
      <c r="I129" s="97">
        <f t="shared" si="22"/>
        <v>19000</v>
      </c>
      <c r="J129" s="86">
        <f t="shared" si="25"/>
        <v>19000</v>
      </c>
      <c r="K129" s="98"/>
      <c r="O129" s="85"/>
      <c r="P129" s="85"/>
      <c r="Q129" s="85"/>
      <c r="R129" s="85"/>
      <c r="S129" s="86">
        <f>1948000+80555.88</f>
        <v>2028555.88</v>
      </c>
      <c r="T129" s="86">
        <v>1189907.01</v>
      </c>
      <c r="U129" s="86">
        <f>E108-S129+T129</f>
        <v>-409186.76999999979</v>
      </c>
      <c r="W129" s="85"/>
      <c r="X129" s="86">
        <v>0</v>
      </c>
      <c r="Y129" s="86">
        <f t="shared" si="24"/>
        <v>0</v>
      </c>
      <c r="AA129" s="86">
        <f>SUM(E120:E129)-SUM(D134:D257)</f>
        <v>1428023957.829998</v>
      </c>
      <c r="AF129" s="86">
        <f t="shared" si="23"/>
        <v>19000</v>
      </c>
      <c r="AO129" s="86">
        <f t="shared" si="26"/>
        <v>0</v>
      </c>
    </row>
    <row r="130" spans="1:41" s="86" customFormat="1" ht="16.5" customHeight="1" x14ac:dyDescent="0.25">
      <c r="A130" s="183" t="s">
        <v>115</v>
      </c>
      <c r="B130" s="96"/>
      <c r="C130" s="110">
        <v>4040202000</v>
      </c>
      <c r="D130" s="157">
        <v>0</v>
      </c>
      <c r="E130" s="97">
        <v>3834570.04</v>
      </c>
      <c r="F130" s="97"/>
      <c r="G130" s="97"/>
      <c r="H130" s="97"/>
      <c r="I130" s="97">
        <f t="shared" si="22"/>
        <v>3834570.04</v>
      </c>
      <c r="J130" s="86">
        <f t="shared" si="25"/>
        <v>3834570.04</v>
      </c>
      <c r="K130" s="98"/>
      <c r="O130" s="85"/>
      <c r="P130" s="85"/>
      <c r="Q130" s="85"/>
      <c r="R130" s="85"/>
      <c r="W130" s="85"/>
      <c r="X130" s="86">
        <v>0</v>
      </c>
      <c r="Y130" s="86">
        <f t="shared" si="24"/>
        <v>0</v>
      </c>
      <c r="AF130" s="86">
        <f t="shared" ref="AF130:AF161" si="27">D130+E130</f>
        <v>3834570.04</v>
      </c>
      <c r="AO130" s="86">
        <f t="shared" si="26"/>
        <v>0</v>
      </c>
    </row>
    <row r="131" spans="1:41" s="86" customFormat="1" x14ac:dyDescent="0.25">
      <c r="A131" s="183" t="s">
        <v>116</v>
      </c>
      <c r="B131" s="96"/>
      <c r="C131" s="110">
        <v>4020114000</v>
      </c>
      <c r="D131" s="157">
        <v>0</v>
      </c>
      <c r="E131" s="97">
        <v>0</v>
      </c>
      <c r="F131" s="97"/>
      <c r="G131" s="97"/>
      <c r="H131" s="97"/>
      <c r="I131" s="97">
        <f t="shared" si="22"/>
        <v>0</v>
      </c>
      <c r="J131" s="86">
        <f t="shared" si="25"/>
        <v>0</v>
      </c>
      <c r="K131" s="98"/>
      <c r="O131" s="85"/>
      <c r="P131" s="85"/>
      <c r="Q131" s="85"/>
      <c r="R131" s="85"/>
      <c r="W131" s="85"/>
      <c r="X131" s="86">
        <v>0</v>
      </c>
      <c r="Y131" s="86">
        <f t="shared" si="24"/>
        <v>0</v>
      </c>
      <c r="AF131" s="86">
        <f t="shared" si="27"/>
        <v>0</v>
      </c>
      <c r="AO131" s="86">
        <f t="shared" si="26"/>
        <v>0</v>
      </c>
    </row>
    <row r="132" spans="1:41" s="86" customFormat="1" ht="16.5" customHeight="1" x14ac:dyDescent="0.25">
      <c r="A132" s="183" t="s">
        <v>117</v>
      </c>
      <c r="B132" s="96"/>
      <c r="C132" s="110">
        <v>4020202000</v>
      </c>
      <c r="D132" s="157">
        <v>0</v>
      </c>
      <c r="E132" s="97">
        <v>0</v>
      </c>
      <c r="F132" s="97"/>
      <c r="G132" s="97"/>
      <c r="H132" s="97"/>
      <c r="I132" s="97">
        <f t="shared" si="22"/>
        <v>0</v>
      </c>
      <c r="J132" s="86">
        <f t="shared" si="25"/>
        <v>0</v>
      </c>
      <c r="K132" s="98">
        <f>SUM(D110:E110)</f>
        <v>30210.799999999999</v>
      </c>
      <c r="O132" s="85"/>
      <c r="P132" s="85"/>
      <c r="Q132" s="85"/>
      <c r="R132" s="85"/>
      <c r="W132" s="85"/>
      <c r="X132" s="86">
        <v>0</v>
      </c>
      <c r="Y132" s="86">
        <f t="shared" si="24"/>
        <v>0</v>
      </c>
      <c r="AF132" s="86">
        <f t="shared" si="27"/>
        <v>0</v>
      </c>
      <c r="AO132" s="86">
        <f t="shared" si="26"/>
        <v>0</v>
      </c>
    </row>
    <row r="133" spans="1:41" s="86" customFormat="1" ht="16.5" customHeight="1" x14ac:dyDescent="0.25">
      <c r="A133" s="183" t="s">
        <v>118</v>
      </c>
      <c r="B133" s="96"/>
      <c r="C133" s="110">
        <v>4020205000</v>
      </c>
      <c r="D133" s="157">
        <v>0</v>
      </c>
      <c r="E133" s="97">
        <v>0</v>
      </c>
      <c r="F133" s="97"/>
      <c r="G133" s="97"/>
      <c r="H133" s="97"/>
      <c r="I133" s="97">
        <f t="shared" si="22"/>
        <v>0</v>
      </c>
      <c r="J133" s="86">
        <f t="shared" si="25"/>
        <v>0</v>
      </c>
      <c r="K133" s="98">
        <f>SUM(D111:E111)</f>
        <v>2737841.9</v>
      </c>
      <c r="O133" s="85"/>
      <c r="P133" s="85"/>
      <c r="Q133" s="85"/>
      <c r="R133" s="85"/>
      <c r="W133" s="85"/>
      <c r="X133" s="86">
        <v>0</v>
      </c>
      <c r="Y133" s="86">
        <f t="shared" si="24"/>
        <v>0</v>
      </c>
      <c r="AF133" s="86">
        <f t="shared" si="27"/>
        <v>0</v>
      </c>
      <c r="AO133" s="86">
        <f t="shared" si="26"/>
        <v>0</v>
      </c>
    </row>
    <row r="134" spans="1:41" x14ac:dyDescent="0.25">
      <c r="A134" s="183" t="s">
        <v>119</v>
      </c>
      <c r="B134" s="96"/>
      <c r="C134" s="110">
        <v>4020213000</v>
      </c>
      <c r="D134" s="157">
        <v>0</v>
      </c>
      <c r="E134" s="97">
        <v>0</v>
      </c>
      <c r="F134" s="97"/>
      <c r="G134" s="97"/>
      <c r="H134" s="97"/>
      <c r="I134" s="97">
        <f t="shared" si="22"/>
        <v>0</v>
      </c>
      <c r="J134" s="86">
        <f t="shared" si="25"/>
        <v>0</v>
      </c>
      <c r="K134" s="98">
        <f t="shared" ref="K134:K166" si="28">SUM(D134:E134)</f>
        <v>0</v>
      </c>
      <c r="L134" s="86"/>
      <c r="X134" s="86">
        <v>0</v>
      </c>
      <c r="Y134" s="86">
        <f t="shared" si="24"/>
        <v>0</v>
      </c>
      <c r="AA134" s="86">
        <f>SUM(AA125:AA133)</f>
        <v>1428023957.829998</v>
      </c>
      <c r="AF134" s="86">
        <f t="shared" si="27"/>
        <v>0</v>
      </c>
      <c r="AO134" s="86">
        <f t="shared" si="26"/>
        <v>0</v>
      </c>
    </row>
    <row r="135" spans="1:41" x14ac:dyDescent="0.25">
      <c r="A135" s="183" t="s">
        <v>120</v>
      </c>
      <c r="B135" s="96"/>
      <c r="C135" s="110">
        <v>4020221099</v>
      </c>
      <c r="D135" s="157">
        <v>0</v>
      </c>
      <c r="E135" s="97">
        <v>0</v>
      </c>
      <c r="F135" s="97"/>
      <c r="G135" s="97"/>
      <c r="H135" s="97"/>
      <c r="I135" s="97">
        <f t="shared" si="22"/>
        <v>0</v>
      </c>
      <c r="J135" s="86">
        <f t="shared" si="25"/>
        <v>0</v>
      </c>
      <c r="K135" s="98">
        <f t="shared" si="28"/>
        <v>0</v>
      </c>
      <c r="L135" s="86"/>
      <c r="X135" s="86">
        <v>35517477.859999999</v>
      </c>
      <c r="Y135" s="86">
        <f t="shared" si="24"/>
        <v>-35517477.859999999</v>
      </c>
      <c r="AF135" s="86">
        <f t="shared" si="27"/>
        <v>0</v>
      </c>
      <c r="AO135" s="86">
        <f t="shared" si="26"/>
        <v>0</v>
      </c>
    </row>
    <row r="136" spans="1:41" x14ac:dyDescent="0.25">
      <c r="A136" s="183" t="s">
        <v>121</v>
      </c>
      <c r="B136" s="96"/>
      <c r="C136" s="110">
        <v>4050199000</v>
      </c>
      <c r="D136" s="157">
        <v>0</v>
      </c>
      <c r="E136" s="97">
        <v>0</v>
      </c>
      <c r="F136" s="97"/>
      <c r="G136" s="97"/>
      <c r="H136" s="97"/>
      <c r="I136" s="97">
        <f t="shared" si="22"/>
        <v>0</v>
      </c>
      <c r="J136" s="86">
        <f t="shared" si="25"/>
        <v>0</v>
      </c>
      <c r="K136" s="98">
        <f t="shared" si="28"/>
        <v>0</v>
      </c>
      <c r="L136" s="86"/>
      <c r="X136" s="86">
        <v>272650773.73000002</v>
      </c>
      <c r="Y136" s="86">
        <f t="shared" si="24"/>
        <v>-272650773.73000002</v>
      </c>
      <c r="AF136" s="86">
        <f t="shared" si="27"/>
        <v>0</v>
      </c>
      <c r="AO136" s="86">
        <f t="shared" si="26"/>
        <v>0</v>
      </c>
    </row>
    <row r="137" spans="1:41" ht="16.5" customHeight="1" x14ac:dyDescent="0.25">
      <c r="A137" s="183" t="s">
        <v>378</v>
      </c>
      <c r="B137" s="96"/>
      <c r="C137" s="110">
        <v>4069999000</v>
      </c>
      <c r="D137" s="157">
        <v>0</v>
      </c>
      <c r="E137" s="97">
        <v>0</v>
      </c>
      <c r="F137" s="97"/>
      <c r="G137" s="97"/>
      <c r="H137" s="97"/>
      <c r="I137" s="97">
        <f t="shared" si="22"/>
        <v>0</v>
      </c>
      <c r="J137" s="86">
        <f t="shared" si="25"/>
        <v>0</v>
      </c>
      <c r="K137" s="98">
        <f t="shared" si="28"/>
        <v>0</v>
      </c>
      <c r="L137" s="86"/>
      <c r="X137" s="86">
        <v>2247519.9</v>
      </c>
      <c r="Y137" s="86">
        <f t="shared" si="24"/>
        <v>-2247519.9</v>
      </c>
      <c r="AF137" s="86">
        <f t="shared" si="27"/>
        <v>0</v>
      </c>
      <c r="AO137" s="86">
        <f t="shared" si="26"/>
        <v>0</v>
      </c>
    </row>
    <row r="138" spans="1:41" x14ac:dyDescent="0.25">
      <c r="A138" s="183" t="s">
        <v>215</v>
      </c>
      <c r="B138" s="96"/>
      <c r="C138" s="110">
        <v>5010101001</v>
      </c>
      <c r="D138" s="157">
        <v>56415275.060000002</v>
      </c>
      <c r="E138" s="97">
        <v>0</v>
      </c>
      <c r="F138" s="97"/>
      <c r="G138" s="97"/>
      <c r="H138" s="97">
        <f t="shared" ref="H138:H169" si="29">D138+F138-G138</f>
        <v>56415275.060000002</v>
      </c>
      <c r="I138" s="97"/>
      <c r="J138" s="86">
        <f t="shared" si="25"/>
        <v>56415275.060000002</v>
      </c>
      <c r="K138" s="98">
        <f t="shared" si="28"/>
        <v>56415275.060000002</v>
      </c>
      <c r="L138" s="86"/>
      <c r="X138" s="86">
        <v>0</v>
      </c>
      <c r="Y138" s="86">
        <f t="shared" si="24"/>
        <v>56415275.060000002</v>
      </c>
      <c r="AF138" s="86">
        <f t="shared" si="27"/>
        <v>56415275.060000002</v>
      </c>
      <c r="AO138" s="86">
        <f t="shared" si="26"/>
        <v>0</v>
      </c>
    </row>
    <row r="139" spans="1:41" x14ac:dyDescent="0.25">
      <c r="A139" s="183" t="s">
        <v>402</v>
      </c>
      <c r="B139" s="96"/>
      <c r="C139" s="110">
        <v>5010102000</v>
      </c>
      <c r="D139" s="157">
        <v>502315650.38</v>
      </c>
      <c r="E139" s="97">
        <v>0</v>
      </c>
      <c r="F139" s="97">
        <f>'[19]FC1 2024'!$I$17-2900+23628.39+50000+17313+51431.21</f>
        <v>750882.63</v>
      </c>
      <c r="G139" s="97">
        <v>2900</v>
      </c>
      <c r="H139" s="97">
        <f t="shared" si="29"/>
        <v>503063633.00999999</v>
      </c>
      <c r="I139" s="97"/>
      <c r="J139" s="86">
        <f t="shared" si="25"/>
        <v>502315650.38</v>
      </c>
      <c r="K139" s="98">
        <f t="shared" si="28"/>
        <v>502315650.38</v>
      </c>
      <c r="L139" s="86"/>
      <c r="X139" s="86">
        <v>0</v>
      </c>
      <c r="Y139" s="86">
        <f t="shared" ref="Y139:Y170" si="30">D139-X139</f>
        <v>502315650.38</v>
      </c>
      <c r="AF139" s="86">
        <f t="shared" si="27"/>
        <v>502315650.38</v>
      </c>
      <c r="AO139" s="86">
        <f t="shared" si="26"/>
        <v>753782.63</v>
      </c>
    </row>
    <row r="140" spans="1:41" ht="30" customHeight="1" x14ac:dyDescent="0.25">
      <c r="A140" s="183" t="s">
        <v>124</v>
      </c>
      <c r="B140" s="96"/>
      <c r="C140" s="110">
        <v>5010201001</v>
      </c>
      <c r="D140" s="157">
        <v>2841340.41</v>
      </c>
      <c r="E140" s="97">
        <v>0</v>
      </c>
      <c r="F140" s="97"/>
      <c r="G140" s="97"/>
      <c r="H140" s="97">
        <f t="shared" si="29"/>
        <v>2841340.41</v>
      </c>
      <c r="I140" s="97"/>
      <c r="J140" s="86">
        <f t="shared" si="25"/>
        <v>2841340.41</v>
      </c>
      <c r="K140" s="98">
        <f t="shared" si="28"/>
        <v>2841340.41</v>
      </c>
      <c r="L140" s="86"/>
      <c r="X140" s="86">
        <v>0</v>
      </c>
      <c r="Y140" s="86">
        <f t="shared" si="30"/>
        <v>2841340.41</v>
      </c>
      <c r="AF140" s="86">
        <f t="shared" si="27"/>
        <v>2841340.41</v>
      </c>
      <c r="AO140" s="86">
        <f t="shared" si="26"/>
        <v>0</v>
      </c>
    </row>
    <row r="141" spans="1:41" x14ac:dyDescent="0.25">
      <c r="A141" s="183" t="s">
        <v>125</v>
      </c>
      <c r="B141" s="96"/>
      <c r="C141" s="110">
        <v>5010210001</v>
      </c>
      <c r="D141" s="157">
        <v>0</v>
      </c>
      <c r="E141" s="97">
        <v>0</v>
      </c>
      <c r="F141" s="97"/>
      <c r="G141" s="97"/>
      <c r="H141" s="97">
        <f t="shared" si="29"/>
        <v>0</v>
      </c>
      <c r="I141" s="97"/>
      <c r="J141" s="86">
        <f t="shared" si="25"/>
        <v>0</v>
      </c>
      <c r="K141" s="98">
        <f t="shared" si="28"/>
        <v>0</v>
      </c>
      <c r="L141" s="86"/>
      <c r="X141" s="86">
        <v>261500</v>
      </c>
      <c r="Y141" s="86">
        <f t="shared" si="30"/>
        <v>-261500</v>
      </c>
      <c r="AF141" s="86">
        <f t="shared" si="27"/>
        <v>0</v>
      </c>
      <c r="AO141" s="86">
        <f t="shared" si="26"/>
        <v>0</v>
      </c>
    </row>
    <row r="142" spans="1:41" x14ac:dyDescent="0.25">
      <c r="A142" s="183" t="s">
        <v>126</v>
      </c>
      <c r="B142" s="96"/>
      <c r="C142" s="110">
        <v>5010211002</v>
      </c>
      <c r="D142" s="157">
        <v>0</v>
      </c>
      <c r="E142" s="97">
        <v>0</v>
      </c>
      <c r="F142" s="97"/>
      <c r="G142" s="97"/>
      <c r="H142" s="97">
        <f t="shared" si="29"/>
        <v>0</v>
      </c>
      <c r="I142" s="97"/>
      <c r="J142" s="86">
        <f t="shared" si="25"/>
        <v>0</v>
      </c>
      <c r="K142" s="98">
        <f t="shared" si="28"/>
        <v>0</v>
      </c>
      <c r="L142" s="86"/>
      <c r="X142" s="86">
        <v>261500</v>
      </c>
      <c r="Y142" s="86">
        <f t="shared" si="30"/>
        <v>-261500</v>
      </c>
      <c r="AF142" s="86">
        <f t="shared" si="27"/>
        <v>0</v>
      </c>
      <c r="AO142" s="86">
        <f t="shared" si="26"/>
        <v>0</v>
      </c>
    </row>
    <row r="143" spans="1:41" x14ac:dyDescent="0.25">
      <c r="A143" s="183" t="s">
        <v>127</v>
      </c>
      <c r="B143" s="96"/>
      <c r="C143" s="110">
        <v>5010212001</v>
      </c>
      <c r="D143" s="157">
        <v>175000</v>
      </c>
      <c r="E143" s="97">
        <v>0</v>
      </c>
      <c r="F143" s="97"/>
      <c r="G143" s="97"/>
      <c r="H143" s="97">
        <f t="shared" si="29"/>
        <v>175000</v>
      </c>
      <c r="I143" s="97"/>
      <c r="J143" s="86">
        <f t="shared" si="25"/>
        <v>175000</v>
      </c>
      <c r="K143" s="98">
        <f t="shared" si="28"/>
        <v>175000</v>
      </c>
      <c r="L143" s="86"/>
      <c r="X143" s="86">
        <v>750000</v>
      </c>
      <c r="Y143" s="86">
        <f t="shared" si="30"/>
        <v>-575000</v>
      </c>
      <c r="AF143" s="86">
        <f t="shared" si="27"/>
        <v>175000</v>
      </c>
      <c r="AO143" s="86">
        <f t="shared" si="26"/>
        <v>0</v>
      </c>
    </row>
    <row r="144" spans="1:41" x14ac:dyDescent="0.25">
      <c r="A144" s="183" t="s">
        <v>38</v>
      </c>
      <c r="B144" s="96"/>
      <c r="C144" s="110">
        <v>5010202000</v>
      </c>
      <c r="D144" s="157">
        <v>418500</v>
      </c>
      <c r="E144" s="97">
        <v>0</v>
      </c>
      <c r="F144" s="97"/>
      <c r="G144" s="97"/>
      <c r="H144" s="97">
        <f t="shared" si="29"/>
        <v>418500</v>
      </c>
      <c r="I144" s="97"/>
      <c r="J144" s="86">
        <f t="shared" si="25"/>
        <v>418500</v>
      </c>
      <c r="K144" s="98">
        <f t="shared" si="28"/>
        <v>418500</v>
      </c>
      <c r="L144" s="86"/>
      <c r="X144" s="86">
        <v>10125</v>
      </c>
      <c r="Y144" s="86">
        <f t="shared" si="30"/>
        <v>408375</v>
      </c>
      <c r="AF144" s="86">
        <f t="shared" si="27"/>
        <v>418500</v>
      </c>
      <c r="AO144" s="86">
        <f t="shared" si="26"/>
        <v>0</v>
      </c>
    </row>
    <row r="145" spans="1:41" x14ac:dyDescent="0.25">
      <c r="A145" s="183" t="s">
        <v>39</v>
      </c>
      <c r="B145" s="96"/>
      <c r="C145" s="110">
        <v>5010203001</v>
      </c>
      <c r="D145" s="157">
        <v>418500</v>
      </c>
      <c r="E145" s="97">
        <v>0</v>
      </c>
      <c r="F145" s="97"/>
      <c r="G145" s="97"/>
      <c r="H145" s="97">
        <f t="shared" si="29"/>
        <v>418500</v>
      </c>
      <c r="I145" s="97"/>
      <c r="J145" s="86">
        <f t="shared" si="25"/>
        <v>418500</v>
      </c>
      <c r="K145" s="98">
        <f t="shared" si="28"/>
        <v>418500</v>
      </c>
      <c r="L145" s="86"/>
      <c r="X145" s="86">
        <v>154425</v>
      </c>
      <c r="Y145" s="86">
        <f t="shared" si="30"/>
        <v>264075</v>
      </c>
      <c r="AF145" s="86">
        <f t="shared" si="27"/>
        <v>418500</v>
      </c>
      <c r="AO145" s="86">
        <f t="shared" si="26"/>
        <v>0</v>
      </c>
    </row>
    <row r="146" spans="1:41" x14ac:dyDescent="0.25">
      <c r="A146" s="183" t="s">
        <v>40</v>
      </c>
      <c r="B146" s="96"/>
      <c r="C146" s="110">
        <v>5010204001</v>
      </c>
      <c r="D146" s="157">
        <v>768000</v>
      </c>
      <c r="E146" s="97">
        <v>0</v>
      </c>
      <c r="F146" s="97"/>
      <c r="G146" s="97"/>
      <c r="H146" s="97">
        <f t="shared" si="29"/>
        <v>768000</v>
      </c>
      <c r="I146" s="97"/>
      <c r="J146" s="86">
        <f t="shared" si="25"/>
        <v>768000</v>
      </c>
      <c r="K146" s="98">
        <f t="shared" si="28"/>
        <v>768000</v>
      </c>
      <c r="L146" s="86"/>
      <c r="X146" s="86">
        <v>0</v>
      </c>
      <c r="Y146" s="86">
        <f t="shared" si="30"/>
        <v>768000</v>
      </c>
      <c r="AF146" s="86">
        <f t="shared" si="27"/>
        <v>768000</v>
      </c>
      <c r="AO146" s="86">
        <f t="shared" si="26"/>
        <v>0</v>
      </c>
    </row>
    <row r="147" spans="1:41" ht="30" customHeight="1" x14ac:dyDescent="0.25">
      <c r="A147" s="183" t="s">
        <v>128</v>
      </c>
      <c r="B147" s="96"/>
      <c r="C147" s="110">
        <v>5010205003</v>
      </c>
      <c r="D147" s="157">
        <v>0</v>
      </c>
      <c r="E147" s="97">
        <v>0</v>
      </c>
      <c r="F147" s="97"/>
      <c r="G147" s="97"/>
      <c r="H147" s="97">
        <f t="shared" si="29"/>
        <v>0</v>
      </c>
      <c r="I147" s="97"/>
      <c r="J147" s="86">
        <f t="shared" si="25"/>
        <v>0</v>
      </c>
      <c r="K147" s="98">
        <f t="shared" si="28"/>
        <v>0</v>
      </c>
      <c r="L147" s="86"/>
      <c r="X147" s="86">
        <v>0</v>
      </c>
      <c r="Y147" s="86">
        <f t="shared" si="30"/>
        <v>0</v>
      </c>
      <c r="AF147" s="86">
        <f t="shared" si="27"/>
        <v>0</v>
      </c>
      <c r="AO147" s="86">
        <f t="shared" si="26"/>
        <v>0</v>
      </c>
    </row>
    <row r="148" spans="1:41" ht="30" customHeight="1" x14ac:dyDescent="0.25">
      <c r="A148" s="183" t="s">
        <v>129</v>
      </c>
      <c r="B148" s="96"/>
      <c r="C148" s="110">
        <v>5010205004</v>
      </c>
      <c r="D148" s="157">
        <v>177350</v>
      </c>
      <c r="E148" s="97">
        <v>0</v>
      </c>
      <c r="F148" s="97"/>
      <c r="G148" s="97"/>
      <c r="H148" s="97">
        <f t="shared" si="29"/>
        <v>177350</v>
      </c>
      <c r="I148" s="97"/>
      <c r="J148" s="86">
        <f t="shared" si="25"/>
        <v>177350</v>
      </c>
      <c r="K148" s="98">
        <f t="shared" si="28"/>
        <v>177350</v>
      </c>
      <c r="L148" s="86"/>
      <c r="X148" s="86">
        <v>0</v>
      </c>
      <c r="Y148" s="86">
        <f t="shared" si="30"/>
        <v>177350</v>
      </c>
      <c r="AF148" s="86">
        <f t="shared" si="27"/>
        <v>177350</v>
      </c>
      <c r="AO148" s="86">
        <f t="shared" si="26"/>
        <v>0</v>
      </c>
    </row>
    <row r="149" spans="1:41" ht="30" customHeight="1" x14ac:dyDescent="0.25">
      <c r="A149" s="183" t="s">
        <v>371</v>
      </c>
      <c r="B149" s="96"/>
      <c r="C149" s="110">
        <v>5010206003</v>
      </c>
      <c r="D149" s="157">
        <v>0</v>
      </c>
      <c r="E149" s="97">
        <v>0</v>
      </c>
      <c r="F149" s="97"/>
      <c r="G149" s="97"/>
      <c r="H149" s="97">
        <f t="shared" si="29"/>
        <v>0</v>
      </c>
      <c r="I149" s="97"/>
      <c r="J149" s="86">
        <f t="shared" si="25"/>
        <v>0</v>
      </c>
      <c r="K149" s="98">
        <f t="shared" si="28"/>
        <v>0</v>
      </c>
      <c r="L149" s="86"/>
      <c r="X149" s="86">
        <v>3787246.23</v>
      </c>
      <c r="Y149" s="86">
        <f t="shared" si="30"/>
        <v>-3787246.23</v>
      </c>
      <c r="AF149" s="86">
        <f t="shared" si="27"/>
        <v>0</v>
      </c>
      <c r="AO149" s="86">
        <f t="shared" si="26"/>
        <v>0</v>
      </c>
    </row>
    <row r="150" spans="1:41" ht="30" customHeight="1" x14ac:dyDescent="0.25">
      <c r="A150" s="183" t="s">
        <v>130</v>
      </c>
      <c r="B150" s="96"/>
      <c r="C150" s="110">
        <v>5010206004</v>
      </c>
      <c r="D150" s="157">
        <v>0</v>
      </c>
      <c r="E150" s="97">
        <v>0</v>
      </c>
      <c r="F150" s="97"/>
      <c r="G150" s="97"/>
      <c r="H150" s="97">
        <f t="shared" si="29"/>
        <v>0</v>
      </c>
      <c r="I150" s="97"/>
      <c r="J150" s="86">
        <f t="shared" si="25"/>
        <v>0</v>
      </c>
      <c r="K150" s="98">
        <f t="shared" si="28"/>
        <v>0</v>
      </c>
      <c r="L150" s="86"/>
      <c r="X150" s="86">
        <v>0</v>
      </c>
      <c r="Y150" s="86">
        <f t="shared" si="30"/>
        <v>0</v>
      </c>
      <c r="AF150" s="86">
        <f t="shared" si="27"/>
        <v>0</v>
      </c>
      <c r="AO150" s="86">
        <f t="shared" si="26"/>
        <v>0</v>
      </c>
    </row>
    <row r="151" spans="1:41" s="101" customFormat="1" ht="30" customHeight="1" x14ac:dyDescent="0.25">
      <c r="A151" s="183" t="s">
        <v>131</v>
      </c>
      <c r="B151" s="96"/>
      <c r="C151" s="110">
        <v>5010207004</v>
      </c>
      <c r="D151" s="157">
        <v>0</v>
      </c>
      <c r="E151" s="97">
        <v>0</v>
      </c>
      <c r="F151" s="97"/>
      <c r="G151" s="97"/>
      <c r="H151" s="97">
        <f t="shared" si="29"/>
        <v>0</v>
      </c>
      <c r="I151" s="97"/>
      <c r="J151" s="86">
        <f t="shared" si="25"/>
        <v>0</v>
      </c>
      <c r="K151" s="98">
        <f t="shared" si="28"/>
        <v>0</v>
      </c>
      <c r="L151" s="97"/>
      <c r="M151" s="97"/>
      <c r="N151" s="97"/>
      <c r="S151" s="97"/>
      <c r="T151" s="97"/>
      <c r="U151" s="97"/>
      <c r="V151" s="97"/>
      <c r="X151" s="97">
        <v>0</v>
      </c>
      <c r="Y151" s="86">
        <f t="shared" si="30"/>
        <v>0</v>
      </c>
      <c r="Z151" s="97"/>
      <c r="AA151" s="97"/>
      <c r="AB151" s="97"/>
      <c r="AC151" s="97"/>
      <c r="AD151" s="97"/>
      <c r="AF151" s="86">
        <f t="shared" si="27"/>
        <v>0</v>
      </c>
      <c r="AO151" s="86">
        <f t="shared" si="26"/>
        <v>0</v>
      </c>
    </row>
    <row r="152" spans="1:41" s="101" customFormat="1" ht="30" customHeight="1" x14ac:dyDescent="0.25">
      <c r="A152" s="183" t="s">
        <v>384</v>
      </c>
      <c r="B152" s="96"/>
      <c r="C152" s="110">
        <v>5010211006</v>
      </c>
      <c r="D152" s="157">
        <v>321068.76</v>
      </c>
      <c r="E152" s="97">
        <v>0</v>
      </c>
      <c r="F152" s="97"/>
      <c r="G152" s="97"/>
      <c r="H152" s="97">
        <f t="shared" si="29"/>
        <v>321068.76</v>
      </c>
      <c r="I152" s="97"/>
      <c r="J152" s="86">
        <f t="shared" ref="J152:J183" si="31">D152+E152</f>
        <v>321068.76</v>
      </c>
      <c r="K152" s="98">
        <f t="shared" si="28"/>
        <v>321068.76</v>
      </c>
      <c r="L152" s="97"/>
      <c r="M152" s="97"/>
      <c r="N152" s="97"/>
      <c r="S152" s="97"/>
      <c r="T152" s="97"/>
      <c r="U152" s="97"/>
      <c r="V152" s="97"/>
      <c r="X152" s="97">
        <v>0</v>
      </c>
      <c r="Y152" s="86">
        <f t="shared" si="30"/>
        <v>321068.76</v>
      </c>
      <c r="Z152" s="97"/>
      <c r="AA152" s="97"/>
      <c r="AB152" s="97"/>
      <c r="AC152" s="97"/>
      <c r="AD152" s="97"/>
      <c r="AF152" s="86">
        <f t="shared" si="27"/>
        <v>321068.76</v>
      </c>
      <c r="AO152" s="86">
        <f t="shared" ref="AO152:AO183" si="32">F152+G152</f>
        <v>0</v>
      </c>
    </row>
    <row r="153" spans="1:41" s="101" customFormat="1" x14ac:dyDescent="0.25">
      <c r="A153" s="183" t="s">
        <v>132</v>
      </c>
      <c r="B153" s="96"/>
      <c r="C153" s="110">
        <v>5010208001</v>
      </c>
      <c r="D153" s="157">
        <v>0</v>
      </c>
      <c r="E153" s="97">
        <v>0</v>
      </c>
      <c r="F153" s="97"/>
      <c r="G153" s="97"/>
      <c r="H153" s="97">
        <f t="shared" si="29"/>
        <v>0</v>
      </c>
      <c r="I153" s="97"/>
      <c r="J153" s="86">
        <f t="shared" si="31"/>
        <v>0</v>
      </c>
      <c r="K153" s="98">
        <f t="shared" si="28"/>
        <v>0</v>
      </c>
      <c r="L153" s="97"/>
      <c r="M153" s="97"/>
      <c r="N153" s="97"/>
      <c r="S153" s="97"/>
      <c r="T153" s="97"/>
      <c r="U153" s="97"/>
      <c r="V153" s="97"/>
      <c r="X153" s="97">
        <v>0</v>
      </c>
      <c r="Y153" s="86">
        <f t="shared" si="30"/>
        <v>0</v>
      </c>
      <c r="Z153" s="97"/>
      <c r="AA153" s="97"/>
      <c r="AB153" s="97"/>
      <c r="AC153" s="97"/>
      <c r="AD153" s="97"/>
      <c r="AF153" s="86">
        <f t="shared" si="27"/>
        <v>0</v>
      </c>
      <c r="AO153" s="86">
        <f t="shared" si="32"/>
        <v>0</v>
      </c>
    </row>
    <row r="154" spans="1:41" s="101" customFormat="1" x14ac:dyDescent="0.25">
      <c r="A154" s="183" t="s">
        <v>133</v>
      </c>
      <c r="B154" s="96"/>
      <c r="C154" s="110">
        <v>5010299011</v>
      </c>
      <c r="D154" s="157">
        <v>30237032.579999998</v>
      </c>
      <c r="E154" s="97">
        <v>0</v>
      </c>
      <c r="F154" s="97"/>
      <c r="G154" s="97"/>
      <c r="H154" s="97">
        <f t="shared" si="29"/>
        <v>30237032.579999998</v>
      </c>
      <c r="I154" s="97"/>
      <c r="J154" s="86">
        <f t="shared" si="31"/>
        <v>30237032.579999998</v>
      </c>
      <c r="K154" s="98">
        <f t="shared" si="28"/>
        <v>30237032.579999998</v>
      </c>
      <c r="L154" s="97"/>
      <c r="M154" s="97"/>
      <c r="N154" s="97"/>
      <c r="S154" s="97"/>
      <c r="T154" s="97"/>
      <c r="U154" s="97"/>
      <c r="V154" s="97"/>
      <c r="X154" s="97">
        <v>3850745</v>
      </c>
      <c r="Y154" s="86">
        <f t="shared" si="30"/>
        <v>26386287.579999998</v>
      </c>
      <c r="Z154" s="97"/>
      <c r="AA154" s="97"/>
      <c r="AB154" s="97"/>
      <c r="AC154" s="97"/>
      <c r="AD154" s="97"/>
      <c r="AF154" s="86">
        <f t="shared" si="27"/>
        <v>30237032.579999998</v>
      </c>
      <c r="AO154" s="86">
        <f t="shared" si="32"/>
        <v>0</v>
      </c>
    </row>
    <row r="155" spans="1:41" s="101" customFormat="1" x14ac:dyDescent="0.25">
      <c r="A155" s="183" t="s">
        <v>134</v>
      </c>
      <c r="B155" s="96"/>
      <c r="C155" s="110">
        <v>5010299012</v>
      </c>
      <c r="D155" s="157">
        <v>660094.25</v>
      </c>
      <c r="E155" s="97">
        <v>0</v>
      </c>
      <c r="F155" s="97"/>
      <c r="G155" s="97"/>
      <c r="H155" s="97">
        <f t="shared" si="29"/>
        <v>660094.25</v>
      </c>
      <c r="I155" s="97"/>
      <c r="J155" s="86">
        <f t="shared" si="31"/>
        <v>660094.25</v>
      </c>
      <c r="K155" s="98">
        <f t="shared" si="28"/>
        <v>660094.25</v>
      </c>
      <c r="L155" s="97"/>
      <c r="M155" s="97"/>
      <c r="N155" s="97"/>
      <c r="S155" s="97"/>
      <c r="T155" s="97"/>
      <c r="U155" s="97"/>
      <c r="V155" s="97"/>
      <c r="X155" s="97">
        <v>0</v>
      </c>
      <c r="Y155" s="86">
        <f t="shared" si="30"/>
        <v>660094.25</v>
      </c>
      <c r="Z155" s="97"/>
      <c r="AA155" s="97"/>
      <c r="AB155" s="97"/>
      <c r="AC155" s="97"/>
      <c r="AD155" s="97"/>
      <c r="AF155" s="86">
        <f t="shared" si="27"/>
        <v>660094.25</v>
      </c>
      <c r="AO155" s="86">
        <f t="shared" si="32"/>
        <v>0</v>
      </c>
    </row>
    <row r="156" spans="1:41" s="101" customFormat="1" ht="16.5" customHeight="1" x14ac:dyDescent="0.25">
      <c r="A156" s="183" t="s">
        <v>135</v>
      </c>
      <c r="B156" s="96"/>
      <c r="C156" s="110">
        <v>5010299014</v>
      </c>
      <c r="D156" s="157">
        <v>15159512.119999999</v>
      </c>
      <c r="E156" s="97">
        <v>0</v>
      </c>
      <c r="F156" s="97"/>
      <c r="G156" s="97"/>
      <c r="H156" s="97">
        <f t="shared" si="29"/>
        <v>15159512.119999999</v>
      </c>
      <c r="I156" s="97"/>
      <c r="J156" s="86">
        <f t="shared" si="31"/>
        <v>15159512.119999999</v>
      </c>
      <c r="K156" s="98">
        <f t="shared" si="28"/>
        <v>15159512.119999999</v>
      </c>
      <c r="L156" s="97"/>
      <c r="M156" s="97"/>
      <c r="N156" s="97"/>
      <c r="S156" s="97"/>
      <c r="T156" s="97"/>
      <c r="U156" s="97"/>
      <c r="V156" s="97"/>
      <c r="X156" s="97">
        <v>0</v>
      </c>
      <c r="Y156" s="86">
        <f t="shared" si="30"/>
        <v>15159512.119999999</v>
      </c>
      <c r="Z156" s="97"/>
      <c r="AA156" s="97"/>
      <c r="AB156" s="97"/>
      <c r="AC156" s="97"/>
      <c r="AD156" s="97"/>
      <c r="AF156" s="86">
        <f t="shared" si="27"/>
        <v>15159512.119999999</v>
      </c>
      <c r="AO156" s="86">
        <f t="shared" si="32"/>
        <v>0</v>
      </c>
    </row>
    <row r="157" spans="1:41" s="101" customFormat="1" x14ac:dyDescent="0.25">
      <c r="A157" s="183" t="s">
        <v>403</v>
      </c>
      <c r="B157" s="96"/>
      <c r="C157" s="110">
        <v>5010216001</v>
      </c>
      <c r="D157" s="157">
        <v>4481260</v>
      </c>
      <c r="E157" s="97">
        <v>0</v>
      </c>
      <c r="F157" s="97"/>
      <c r="G157" s="97"/>
      <c r="H157" s="97">
        <f t="shared" si="29"/>
        <v>4481260</v>
      </c>
      <c r="I157" s="97"/>
      <c r="J157" s="86">
        <f t="shared" si="31"/>
        <v>4481260</v>
      </c>
      <c r="K157" s="98">
        <f t="shared" si="28"/>
        <v>4481260</v>
      </c>
      <c r="L157" s="97"/>
      <c r="M157" s="97"/>
      <c r="N157" s="97"/>
      <c r="S157" s="97"/>
      <c r="T157" s="97"/>
      <c r="U157" s="97"/>
      <c r="V157" s="97"/>
      <c r="X157" s="97">
        <v>0</v>
      </c>
      <c r="Y157" s="86">
        <f t="shared" si="30"/>
        <v>4481260</v>
      </c>
      <c r="Z157" s="97"/>
      <c r="AA157" s="97"/>
      <c r="AB157" s="97"/>
      <c r="AC157" s="97"/>
      <c r="AD157" s="97"/>
      <c r="AF157" s="86">
        <f t="shared" si="27"/>
        <v>4481260</v>
      </c>
      <c r="AO157" s="86">
        <f t="shared" si="32"/>
        <v>0</v>
      </c>
    </row>
    <row r="158" spans="1:41" s="101" customFormat="1" x14ac:dyDescent="0.25">
      <c r="A158" s="183" t="s">
        <v>404</v>
      </c>
      <c r="B158" s="96"/>
      <c r="C158" s="110">
        <v>5010299038</v>
      </c>
      <c r="D158" s="157">
        <v>0</v>
      </c>
      <c r="E158" s="97">
        <v>0</v>
      </c>
      <c r="F158" s="97"/>
      <c r="G158" s="97"/>
      <c r="H158" s="97">
        <f t="shared" si="29"/>
        <v>0</v>
      </c>
      <c r="I158" s="97"/>
      <c r="J158" s="86">
        <f t="shared" si="31"/>
        <v>0</v>
      </c>
      <c r="K158" s="98">
        <f t="shared" si="28"/>
        <v>0</v>
      </c>
      <c r="L158" s="97"/>
      <c r="M158" s="97"/>
      <c r="N158" s="97"/>
      <c r="S158" s="97"/>
      <c r="T158" s="97"/>
      <c r="U158" s="97"/>
      <c r="V158" s="97"/>
      <c r="X158" s="97">
        <v>0</v>
      </c>
      <c r="Y158" s="86">
        <f t="shared" si="30"/>
        <v>0</v>
      </c>
      <c r="Z158" s="97"/>
      <c r="AA158" s="97"/>
      <c r="AB158" s="97"/>
      <c r="AC158" s="97"/>
      <c r="AD158" s="97"/>
      <c r="AF158" s="86">
        <f t="shared" si="27"/>
        <v>0</v>
      </c>
      <c r="AO158" s="86">
        <f t="shared" si="32"/>
        <v>0</v>
      </c>
    </row>
    <row r="159" spans="1:41" s="101" customFormat="1" x14ac:dyDescent="0.25">
      <c r="A159" s="183" t="s">
        <v>214</v>
      </c>
      <c r="B159" s="96"/>
      <c r="C159" s="110">
        <v>5010213001</v>
      </c>
      <c r="D159" s="157">
        <v>0</v>
      </c>
      <c r="E159" s="97">
        <v>0</v>
      </c>
      <c r="F159" s="97"/>
      <c r="G159" s="97"/>
      <c r="H159" s="97">
        <f t="shared" si="29"/>
        <v>0</v>
      </c>
      <c r="I159" s="97"/>
      <c r="J159" s="86">
        <f t="shared" si="31"/>
        <v>0</v>
      </c>
      <c r="K159" s="98">
        <f t="shared" si="28"/>
        <v>0</v>
      </c>
      <c r="L159" s="97"/>
      <c r="M159" s="97"/>
      <c r="N159" s="97"/>
      <c r="S159" s="97"/>
      <c r="T159" s="97"/>
      <c r="U159" s="97"/>
      <c r="V159" s="97"/>
      <c r="X159" s="97">
        <v>1826232.47</v>
      </c>
      <c r="Y159" s="86">
        <f t="shared" si="30"/>
        <v>-1826232.47</v>
      </c>
      <c r="Z159" s="97"/>
      <c r="AA159" s="97"/>
      <c r="AB159" s="97"/>
      <c r="AC159" s="97"/>
      <c r="AD159" s="97"/>
      <c r="AF159" s="86">
        <f t="shared" si="27"/>
        <v>0</v>
      </c>
      <c r="AO159" s="86">
        <f t="shared" si="32"/>
        <v>0</v>
      </c>
    </row>
    <row r="160" spans="1:41" s="101" customFormat="1" x14ac:dyDescent="0.25">
      <c r="A160" s="183" t="s">
        <v>368</v>
      </c>
      <c r="B160" s="96"/>
      <c r="C160" s="110">
        <v>5010213002</v>
      </c>
      <c r="D160" s="157">
        <v>0</v>
      </c>
      <c r="E160" s="97">
        <v>0</v>
      </c>
      <c r="F160" s="97"/>
      <c r="G160" s="97"/>
      <c r="H160" s="97">
        <f t="shared" si="29"/>
        <v>0</v>
      </c>
      <c r="I160" s="97"/>
      <c r="J160" s="86">
        <f t="shared" si="31"/>
        <v>0</v>
      </c>
      <c r="K160" s="98">
        <f t="shared" si="28"/>
        <v>0</v>
      </c>
      <c r="L160" s="97"/>
      <c r="M160" s="97"/>
      <c r="N160" s="97"/>
      <c r="S160" s="97"/>
      <c r="T160" s="97"/>
      <c r="U160" s="97"/>
      <c r="V160" s="97"/>
      <c r="X160" s="97">
        <v>100700</v>
      </c>
      <c r="Y160" s="86">
        <f t="shared" si="30"/>
        <v>-100700</v>
      </c>
      <c r="Z160" s="97"/>
      <c r="AA160" s="97"/>
      <c r="AB160" s="97"/>
      <c r="AC160" s="97"/>
      <c r="AD160" s="97"/>
      <c r="AF160" s="86">
        <f t="shared" si="27"/>
        <v>0</v>
      </c>
      <c r="AO160" s="86">
        <f t="shared" si="32"/>
        <v>0</v>
      </c>
    </row>
    <row r="161" spans="1:41" s="101" customFormat="1" x14ac:dyDescent="0.25">
      <c r="A161" s="183" t="s">
        <v>41</v>
      </c>
      <c r="B161" s="96"/>
      <c r="C161" s="110">
        <v>5010215001</v>
      </c>
      <c r="D161" s="157">
        <v>642000</v>
      </c>
      <c r="E161" s="97">
        <v>0</v>
      </c>
      <c r="F161" s="97"/>
      <c r="G161" s="97"/>
      <c r="H161" s="97">
        <f t="shared" si="29"/>
        <v>642000</v>
      </c>
      <c r="I161" s="97"/>
      <c r="J161" s="86">
        <f t="shared" si="31"/>
        <v>642000</v>
      </c>
      <c r="K161" s="98">
        <f t="shared" si="28"/>
        <v>642000</v>
      </c>
      <c r="L161" s="97"/>
      <c r="M161" s="97"/>
      <c r="N161" s="97"/>
      <c r="S161" s="97"/>
      <c r="T161" s="97"/>
      <c r="U161" s="97"/>
      <c r="V161" s="97"/>
      <c r="X161" s="97">
        <v>485573.87</v>
      </c>
      <c r="Y161" s="86">
        <f t="shared" si="30"/>
        <v>156426.13</v>
      </c>
      <c r="Z161" s="97"/>
      <c r="AA161" s="97"/>
      <c r="AB161" s="97"/>
      <c r="AC161" s="97"/>
      <c r="AD161" s="97"/>
      <c r="AF161" s="86">
        <f t="shared" si="27"/>
        <v>642000</v>
      </c>
      <c r="AO161" s="86">
        <f t="shared" si="32"/>
        <v>0</v>
      </c>
    </row>
    <row r="162" spans="1:41" s="101" customFormat="1" ht="16.5" customHeight="1" x14ac:dyDescent="0.25">
      <c r="A162" s="183" t="s">
        <v>96</v>
      </c>
      <c r="B162" s="96"/>
      <c r="C162" s="110">
        <v>5010214001</v>
      </c>
      <c r="D162" s="157">
        <v>4691926.8</v>
      </c>
      <c r="E162" s="97">
        <v>0</v>
      </c>
      <c r="F162" s="97"/>
      <c r="G162" s="97"/>
      <c r="H162" s="97">
        <f t="shared" si="29"/>
        <v>4691926.8</v>
      </c>
      <c r="I162" s="97"/>
      <c r="J162" s="86">
        <f t="shared" si="31"/>
        <v>4691926.8</v>
      </c>
      <c r="K162" s="98">
        <f t="shared" si="28"/>
        <v>4691926.8</v>
      </c>
      <c r="L162" s="97"/>
      <c r="M162" s="97"/>
      <c r="N162" s="97"/>
      <c r="S162" s="97"/>
      <c r="T162" s="97"/>
      <c r="U162" s="97"/>
      <c r="V162" s="97"/>
      <c r="X162" s="97">
        <v>113600</v>
      </c>
      <c r="Y162" s="86">
        <f t="shared" si="30"/>
        <v>4578326.8</v>
      </c>
      <c r="Z162" s="97"/>
      <c r="AA162" s="97"/>
      <c r="AB162" s="97"/>
      <c r="AC162" s="97"/>
      <c r="AD162" s="97"/>
      <c r="AF162" s="86">
        <f t="shared" ref="AF162:AF190" si="33">D162+E162</f>
        <v>4691926.8</v>
      </c>
      <c r="AO162" s="86">
        <f t="shared" si="32"/>
        <v>0</v>
      </c>
    </row>
    <row r="163" spans="1:41" s="101" customFormat="1" ht="16.5" customHeight="1" x14ac:dyDescent="0.25">
      <c r="A163" s="183" t="s">
        <v>212</v>
      </c>
      <c r="B163" s="96"/>
      <c r="C163" s="110">
        <v>5010301000</v>
      </c>
      <c r="D163" s="157">
        <v>6757112.4900000002</v>
      </c>
      <c r="E163" s="97">
        <v>0</v>
      </c>
      <c r="F163" s="97"/>
      <c r="G163" s="97"/>
      <c r="H163" s="97">
        <f t="shared" si="29"/>
        <v>6757112.4900000002</v>
      </c>
      <c r="I163" s="97"/>
      <c r="J163" s="86">
        <f t="shared" si="31"/>
        <v>6757112.4900000002</v>
      </c>
      <c r="K163" s="98">
        <f t="shared" si="28"/>
        <v>6757112.4900000002</v>
      </c>
      <c r="L163" s="97"/>
      <c r="M163" s="97"/>
      <c r="N163" s="97"/>
      <c r="S163" s="97"/>
      <c r="T163" s="97"/>
      <c r="U163" s="97"/>
      <c r="V163" s="97"/>
      <c r="X163" s="97">
        <v>0</v>
      </c>
      <c r="Y163" s="86">
        <f t="shared" si="30"/>
        <v>6757112.4900000002</v>
      </c>
      <c r="Z163" s="97"/>
      <c r="AA163" s="97"/>
      <c r="AB163" s="97"/>
      <c r="AC163" s="97"/>
      <c r="AD163" s="97"/>
      <c r="AF163" s="86">
        <f t="shared" si="33"/>
        <v>6757112.4900000002</v>
      </c>
      <c r="AO163" s="86">
        <f t="shared" si="32"/>
        <v>0</v>
      </c>
    </row>
    <row r="164" spans="1:41" s="101" customFormat="1" ht="16.5" customHeight="1" x14ac:dyDescent="0.25">
      <c r="A164" s="183" t="s">
        <v>138</v>
      </c>
      <c r="B164" s="96"/>
      <c r="C164" s="110">
        <v>5010302001</v>
      </c>
      <c r="D164" s="157">
        <v>115200</v>
      </c>
      <c r="E164" s="97">
        <v>0</v>
      </c>
      <c r="F164" s="97"/>
      <c r="G164" s="97"/>
      <c r="H164" s="97">
        <f t="shared" si="29"/>
        <v>115200</v>
      </c>
      <c r="I164" s="97"/>
      <c r="J164" s="86">
        <f t="shared" si="31"/>
        <v>115200</v>
      </c>
      <c r="K164" s="98">
        <f t="shared" si="28"/>
        <v>115200</v>
      </c>
      <c r="L164" s="97"/>
      <c r="M164" s="97"/>
      <c r="N164" s="97"/>
      <c r="S164" s="97"/>
      <c r="T164" s="97"/>
      <c r="U164" s="97"/>
      <c r="V164" s="97"/>
      <c r="X164" s="97">
        <v>0</v>
      </c>
      <c r="Y164" s="86">
        <f t="shared" si="30"/>
        <v>115200</v>
      </c>
      <c r="Z164" s="97"/>
      <c r="AA164" s="97"/>
      <c r="AB164" s="97"/>
      <c r="AC164" s="97"/>
      <c r="AD164" s="97"/>
      <c r="AF164" s="86">
        <f t="shared" si="33"/>
        <v>115200</v>
      </c>
      <c r="AO164" s="86">
        <f t="shared" si="32"/>
        <v>0</v>
      </c>
    </row>
    <row r="165" spans="1:41" s="101" customFormat="1" ht="16.5" customHeight="1" x14ac:dyDescent="0.25">
      <c r="A165" s="183" t="s">
        <v>139</v>
      </c>
      <c r="B165" s="96"/>
      <c r="C165" s="110">
        <v>5010303001</v>
      </c>
      <c r="D165" s="157">
        <v>1059802.68</v>
      </c>
      <c r="E165" s="97">
        <v>0</v>
      </c>
      <c r="F165" s="97"/>
      <c r="G165" s="97"/>
      <c r="H165" s="97">
        <f t="shared" si="29"/>
        <v>1059802.68</v>
      </c>
      <c r="I165" s="97"/>
      <c r="J165" s="86">
        <f t="shared" si="31"/>
        <v>1059802.68</v>
      </c>
      <c r="K165" s="98">
        <f t="shared" si="28"/>
        <v>1059802.68</v>
      </c>
      <c r="L165" s="97"/>
      <c r="M165" s="97"/>
      <c r="N165" s="97"/>
      <c r="S165" s="97"/>
      <c r="T165" s="97"/>
      <c r="U165" s="97"/>
      <c r="V165" s="97"/>
      <c r="X165" s="97">
        <v>0</v>
      </c>
      <c r="Y165" s="86">
        <f t="shared" si="30"/>
        <v>1059802.68</v>
      </c>
      <c r="Z165" s="97"/>
      <c r="AA165" s="97"/>
      <c r="AB165" s="97"/>
      <c r="AC165" s="97"/>
      <c r="AD165" s="97"/>
      <c r="AF165" s="86">
        <f t="shared" si="33"/>
        <v>1059802.68</v>
      </c>
      <c r="AO165" s="86">
        <f t="shared" si="32"/>
        <v>0</v>
      </c>
    </row>
    <row r="166" spans="1:41" s="101" customFormat="1" ht="16.5" customHeight="1" x14ac:dyDescent="0.25">
      <c r="A166" s="183" t="s">
        <v>140</v>
      </c>
      <c r="B166" s="96"/>
      <c r="C166" s="110">
        <v>5010304001</v>
      </c>
      <c r="D166" s="157">
        <v>155290.28</v>
      </c>
      <c r="E166" s="97">
        <v>0</v>
      </c>
      <c r="F166" s="97"/>
      <c r="G166" s="97"/>
      <c r="H166" s="97">
        <f t="shared" si="29"/>
        <v>155290.28</v>
      </c>
      <c r="I166" s="97"/>
      <c r="J166" s="86">
        <f t="shared" si="31"/>
        <v>155290.28</v>
      </c>
      <c r="K166" s="98">
        <f t="shared" si="28"/>
        <v>155290.28</v>
      </c>
      <c r="L166" s="97"/>
      <c r="M166" s="97"/>
      <c r="N166" s="97"/>
      <c r="S166" s="97"/>
      <c r="T166" s="97"/>
      <c r="U166" s="97"/>
      <c r="V166" s="97"/>
      <c r="X166" s="97">
        <v>1052.99</v>
      </c>
      <c r="Y166" s="86">
        <f t="shared" si="30"/>
        <v>154237.29</v>
      </c>
      <c r="Z166" s="97"/>
      <c r="AA166" s="97"/>
      <c r="AB166" s="97"/>
      <c r="AC166" s="97"/>
      <c r="AD166" s="97"/>
      <c r="AF166" s="86">
        <f t="shared" si="33"/>
        <v>155290.28</v>
      </c>
      <c r="AO166" s="86">
        <f t="shared" si="32"/>
        <v>0</v>
      </c>
    </row>
    <row r="167" spans="1:41" x14ac:dyDescent="0.25">
      <c r="A167" s="183" t="s">
        <v>141</v>
      </c>
      <c r="B167" s="96"/>
      <c r="C167" s="110">
        <v>5010401001</v>
      </c>
      <c r="D167" s="157">
        <v>0</v>
      </c>
      <c r="E167" s="97">
        <v>0</v>
      </c>
      <c r="F167" s="97"/>
      <c r="G167" s="97"/>
      <c r="H167" s="97">
        <f t="shared" si="29"/>
        <v>0</v>
      </c>
      <c r="I167" s="97"/>
      <c r="J167" s="86">
        <f t="shared" si="31"/>
        <v>0</v>
      </c>
      <c r="K167" s="98"/>
      <c r="L167" s="86"/>
      <c r="X167" s="86">
        <v>85000</v>
      </c>
      <c r="Y167" s="86">
        <f t="shared" si="30"/>
        <v>-85000</v>
      </c>
      <c r="AF167" s="86">
        <f t="shared" si="33"/>
        <v>0</v>
      </c>
      <c r="AO167" s="86">
        <f t="shared" si="32"/>
        <v>0</v>
      </c>
    </row>
    <row r="168" spans="1:41" x14ac:dyDescent="0.25">
      <c r="A168" s="183" t="s">
        <v>142</v>
      </c>
      <c r="B168" s="96"/>
      <c r="C168" s="110">
        <v>5010402001</v>
      </c>
      <c r="D168" s="157">
        <v>0</v>
      </c>
      <c r="E168" s="97">
        <v>0</v>
      </c>
      <c r="F168" s="97"/>
      <c r="G168" s="97"/>
      <c r="H168" s="97">
        <f t="shared" si="29"/>
        <v>0</v>
      </c>
      <c r="I168" s="97"/>
      <c r="J168" s="86">
        <f t="shared" si="31"/>
        <v>0</v>
      </c>
      <c r="K168" s="98">
        <f>SUM(D168:E168)</f>
        <v>0</v>
      </c>
      <c r="L168" s="86"/>
      <c r="X168" s="86">
        <v>28982835.34</v>
      </c>
      <c r="Y168" s="86">
        <f t="shared" si="30"/>
        <v>-28982835.34</v>
      </c>
      <c r="AF168" s="86">
        <f t="shared" si="33"/>
        <v>0</v>
      </c>
      <c r="AO168" s="86">
        <f t="shared" si="32"/>
        <v>0</v>
      </c>
    </row>
    <row r="169" spans="1:41" ht="16.5" customHeight="1" x14ac:dyDescent="0.25">
      <c r="A169" s="183" t="s">
        <v>143</v>
      </c>
      <c r="B169" s="96"/>
      <c r="C169" s="110">
        <v>5010403001</v>
      </c>
      <c r="D169" s="157">
        <v>2494509.61</v>
      </c>
      <c r="E169" s="97">
        <v>0</v>
      </c>
      <c r="F169" s="97"/>
      <c r="G169" s="97"/>
      <c r="H169" s="97">
        <f t="shared" si="29"/>
        <v>2494509.61</v>
      </c>
      <c r="I169" s="97"/>
      <c r="J169" s="86">
        <f t="shared" si="31"/>
        <v>2494509.61</v>
      </c>
      <c r="K169" s="98">
        <f>SUM(D169:E169)</f>
        <v>2494509.61</v>
      </c>
      <c r="L169" s="86"/>
      <c r="X169" s="86">
        <v>4350663.1900000004</v>
      </c>
      <c r="Y169" s="86">
        <f t="shared" si="30"/>
        <v>-1856153.5800000005</v>
      </c>
      <c r="AF169" s="86">
        <f t="shared" si="33"/>
        <v>2494509.61</v>
      </c>
      <c r="AO169" s="86">
        <f t="shared" si="32"/>
        <v>0</v>
      </c>
    </row>
    <row r="170" spans="1:41" x14ac:dyDescent="0.25">
      <c r="A170" s="183" t="s">
        <v>382</v>
      </c>
      <c r="B170" s="96"/>
      <c r="C170" s="110">
        <v>5010499015</v>
      </c>
      <c r="D170" s="157">
        <v>0</v>
      </c>
      <c r="E170" s="97">
        <v>0</v>
      </c>
      <c r="F170" s="97"/>
      <c r="G170" s="97"/>
      <c r="H170" s="97">
        <f t="shared" ref="H170:H201" si="34">D170+F170-G170</f>
        <v>0</v>
      </c>
      <c r="I170" s="97"/>
      <c r="J170" s="86">
        <f t="shared" si="31"/>
        <v>0</v>
      </c>
      <c r="K170" s="98">
        <f>SUM(D170:E170)</f>
        <v>0</v>
      </c>
      <c r="L170" s="86"/>
      <c r="X170" s="86">
        <v>89200.3</v>
      </c>
      <c r="Y170" s="86">
        <f t="shared" si="30"/>
        <v>-89200.3</v>
      </c>
      <c r="AF170" s="86">
        <f t="shared" si="33"/>
        <v>0</v>
      </c>
      <c r="AO170" s="86">
        <f t="shared" si="32"/>
        <v>0</v>
      </c>
    </row>
    <row r="171" spans="1:41" s="86" customFormat="1" x14ac:dyDescent="0.25">
      <c r="A171" s="183" t="s">
        <v>379</v>
      </c>
      <c r="B171" s="96"/>
      <c r="C171" s="110">
        <v>5010499010</v>
      </c>
      <c r="D171" s="157">
        <v>0</v>
      </c>
      <c r="E171" s="97">
        <v>0</v>
      </c>
      <c r="F171" s="97"/>
      <c r="G171" s="97"/>
      <c r="H171" s="97">
        <f t="shared" si="34"/>
        <v>0</v>
      </c>
      <c r="I171" s="97"/>
      <c r="J171" s="86">
        <f t="shared" si="31"/>
        <v>0</v>
      </c>
      <c r="K171" s="98">
        <f>SUM(D171:E171)</f>
        <v>0</v>
      </c>
      <c r="O171" s="85"/>
      <c r="P171" s="85"/>
      <c r="Q171" s="85"/>
      <c r="R171" s="85"/>
      <c r="W171" s="85"/>
      <c r="X171" s="86">
        <v>8173807.21</v>
      </c>
      <c r="Y171" s="86">
        <f t="shared" ref="Y171" si="35">D171-X171</f>
        <v>-8173807.21</v>
      </c>
      <c r="AF171" s="86">
        <f t="shared" si="33"/>
        <v>0</v>
      </c>
      <c r="AO171" s="86">
        <f t="shared" si="32"/>
        <v>0</v>
      </c>
    </row>
    <row r="172" spans="1:41" s="86" customFormat="1" x14ac:dyDescent="0.25">
      <c r="A172" s="183" t="s">
        <v>467</v>
      </c>
      <c r="B172" s="96"/>
      <c r="C172" s="110">
        <v>5010499011</v>
      </c>
      <c r="D172" s="157">
        <v>0</v>
      </c>
      <c r="E172" s="97">
        <v>0</v>
      </c>
      <c r="F172" s="97"/>
      <c r="G172" s="97"/>
      <c r="H172" s="97">
        <f t="shared" si="34"/>
        <v>0</v>
      </c>
      <c r="I172" s="97"/>
      <c r="J172" s="86">
        <f t="shared" si="31"/>
        <v>0</v>
      </c>
      <c r="K172" s="98"/>
      <c r="O172" s="85"/>
      <c r="P172" s="85"/>
      <c r="Q172" s="85"/>
      <c r="R172" s="85"/>
      <c r="W172" s="85"/>
      <c r="AF172" s="86">
        <f t="shared" si="33"/>
        <v>0</v>
      </c>
      <c r="AO172" s="86">
        <f t="shared" si="32"/>
        <v>0</v>
      </c>
    </row>
    <row r="173" spans="1:41" s="86" customFormat="1" x14ac:dyDescent="0.25">
      <c r="A173" s="183" t="s">
        <v>405</v>
      </c>
      <c r="B173" s="96"/>
      <c r="C173" s="110">
        <v>5010499099</v>
      </c>
      <c r="D173" s="157">
        <v>20071500</v>
      </c>
      <c r="E173" s="97">
        <v>0</v>
      </c>
      <c r="F173" s="97"/>
      <c r="G173" s="97"/>
      <c r="H173" s="97">
        <f t="shared" si="34"/>
        <v>20071500</v>
      </c>
      <c r="I173" s="97"/>
      <c r="J173" s="86">
        <f t="shared" si="31"/>
        <v>20071500</v>
      </c>
      <c r="K173" s="98">
        <f t="shared" ref="K173:K190" si="36">SUM(D173:E173)</f>
        <v>20071500</v>
      </c>
      <c r="O173" s="85"/>
      <c r="P173" s="85"/>
      <c r="Q173" s="85"/>
      <c r="R173" s="85"/>
      <c r="W173" s="85"/>
      <c r="X173" s="86">
        <v>224119.05</v>
      </c>
      <c r="Y173" s="86">
        <f t="shared" ref="Y173:Y182" si="37">D173-X173</f>
        <v>19847380.949999999</v>
      </c>
      <c r="AF173" s="86">
        <f t="shared" si="33"/>
        <v>20071500</v>
      </c>
      <c r="AO173" s="86">
        <f t="shared" si="32"/>
        <v>0</v>
      </c>
    </row>
    <row r="174" spans="1:41" s="86" customFormat="1" x14ac:dyDescent="0.25">
      <c r="A174" s="183" t="s">
        <v>42</v>
      </c>
      <c r="B174" s="96"/>
      <c r="C174" s="110">
        <v>5020101000</v>
      </c>
      <c r="D174" s="157">
        <v>112170957.09</v>
      </c>
      <c r="E174" s="97">
        <v>0</v>
      </c>
      <c r="F174" s="97">
        <f>'[19]FC1 2024'!$I$23+112994.72+650250.07</f>
        <v>4474005.07</v>
      </c>
      <c r="G174" s="97"/>
      <c r="H174" s="97">
        <f t="shared" si="34"/>
        <v>116644962.16</v>
      </c>
      <c r="I174" s="97"/>
      <c r="J174" s="86">
        <f t="shared" si="31"/>
        <v>112170957.09</v>
      </c>
      <c r="K174" s="98">
        <f t="shared" si="36"/>
        <v>112170957.09</v>
      </c>
      <c r="O174" s="85"/>
      <c r="P174" s="85"/>
      <c r="Q174" s="85"/>
      <c r="R174" s="85"/>
      <c r="W174" s="85"/>
      <c r="X174" s="86">
        <v>6303924.2400000002</v>
      </c>
      <c r="Y174" s="86">
        <f t="shared" si="37"/>
        <v>105867032.85000001</v>
      </c>
      <c r="AF174" s="86">
        <f t="shared" si="33"/>
        <v>112170957.09</v>
      </c>
      <c r="AO174" s="86">
        <f t="shared" si="32"/>
        <v>4474005.07</v>
      </c>
    </row>
    <row r="175" spans="1:41" s="86" customFormat="1" x14ac:dyDescent="0.25">
      <c r="A175" s="183" t="s">
        <v>43</v>
      </c>
      <c r="B175" s="96"/>
      <c r="C175" s="110">
        <v>5020201002</v>
      </c>
      <c r="D175" s="157">
        <v>51348978.049999997</v>
      </c>
      <c r="E175" s="97">
        <v>0</v>
      </c>
      <c r="F175" s="97">
        <f>'[19]FC1 2024'!$I$24-195600.54+1531265.56+106000-41648.33+23760+1382660+94800+120000</f>
        <v>13719147.390000001</v>
      </c>
      <c r="G175" s="97"/>
      <c r="H175" s="97">
        <f t="shared" si="34"/>
        <v>65068125.439999998</v>
      </c>
      <c r="I175" s="97"/>
      <c r="J175" s="86">
        <f t="shared" si="31"/>
        <v>51348978.049999997</v>
      </c>
      <c r="K175" s="98">
        <f t="shared" si="36"/>
        <v>51348978.049999997</v>
      </c>
      <c r="O175" s="85"/>
      <c r="P175" s="85"/>
      <c r="Q175" s="85"/>
      <c r="R175" s="85"/>
      <c r="W175" s="85"/>
      <c r="X175" s="86">
        <v>40228.199999999997</v>
      </c>
      <c r="Y175" s="86">
        <f t="shared" si="37"/>
        <v>51308749.849999994</v>
      </c>
      <c r="AF175" s="86">
        <f t="shared" si="33"/>
        <v>51348978.049999997</v>
      </c>
      <c r="AO175" s="86">
        <f t="shared" si="32"/>
        <v>13719147.390000001</v>
      </c>
    </row>
    <row r="176" spans="1:41" s="86" customFormat="1" x14ac:dyDescent="0.25">
      <c r="A176" s="183" t="s">
        <v>44</v>
      </c>
      <c r="B176" s="96"/>
      <c r="C176" s="110">
        <v>5020202000</v>
      </c>
      <c r="D176" s="157">
        <v>12337.78</v>
      </c>
      <c r="E176" s="97">
        <v>0</v>
      </c>
      <c r="F176" s="97"/>
      <c r="G176" s="97"/>
      <c r="H176" s="97">
        <f t="shared" si="34"/>
        <v>12337.78</v>
      </c>
      <c r="I176" s="97"/>
      <c r="J176" s="86">
        <f t="shared" si="31"/>
        <v>12337.78</v>
      </c>
      <c r="K176" s="98">
        <f t="shared" si="36"/>
        <v>12337.78</v>
      </c>
      <c r="O176" s="85"/>
      <c r="P176" s="85"/>
      <c r="Q176" s="85"/>
      <c r="R176" s="85"/>
      <c r="W176" s="85"/>
      <c r="X176" s="86">
        <v>289116.40000000002</v>
      </c>
      <c r="Y176" s="86">
        <f t="shared" si="37"/>
        <v>-276778.62</v>
      </c>
      <c r="AF176" s="86">
        <f t="shared" si="33"/>
        <v>12337.78</v>
      </c>
      <c r="AO176" s="86">
        <f t="shared" si="32"/>
        <v>0</v>
      </c>
    </row>
    <row r="177" spans="1:41" s="86" customFormat="1" x14ac:dyDescent="0.25">
      <c r="A177" s="183" t="s">
        <v>413</v>
      </c>
      <c r="B177" s="96"/>
      <c r="C177" s="110">
        <v>5020301001</v>
      </c>
      <c r="D177" s="157">
        <v>776685.1</v>
      </c>
      <c r="E177" s="97">
        <v>0</v>
      </c>
      <c r="F177" s="97"/>
      <c r="G177" s="97">
        <v>53737.79</v>
      </c>
      <c r="H177" s="97">
        <f t="shared" si="34"/>
        <v>722947.30999999994</v>
      </c>
      <c r="I177" s="97"/>
      <c r="J177" s="86">
        <f t="shared" si="31"/>
        <v>776685.1</v>
      </c>
      <c r="K177" s="98">
        <f t="shared" si="36"/>
        <v>776685.1</v>
      </c>
      <c r="O177" s="85"/>
      <c r="P177" s="85"/>
      <c r="Q177" s="85"/>
      <c r="R177" s="85"/>
      <c r="W177" s="85"/>
      <c r="X177" s="86">
        <v>151020.65</v>
      </c>
      <c r="Y177" s="86">
        <f t="shared" si="37"/>
        <v>625664.44999999995</v>
      </c>
      <c r="AF177" s="86">
        <f t="shared" si="33"/>
        <v>776685.1</v>
      </c>
      <c r="AO177" s="86">
        <f t="shared" si="32"/>
        <v>53737.79</v>
      </c>
    </row>
    <row r="178" spans="1:41" s="274" customFormat="1" x14ac:dyDescent="0.25">
      <c r="A178" s="434" t="s">
        <v>45</v>
      </c>
      <c r="B178" s="142"/>
      <c r="C178" s="132">
        <v>5020301002</v>
      </c>
      <c r="D178" s="435">
        <v>13941367.890000001</v>
      </c>
      <c r="E178" s="436">
        <v>0</v>
      </c>
      <c r="F178" s="436">
        <f>'[19]FC1 2024'!$I$31+'[19]FC1 2024'!$I$30+1085020.68-209224+6750+244871.33-15224+373.44+3478623.85</f>
        <v>9604428.2700000014</v>
      </c>
      <c r="G178" s="436"/>
      <c r="H178" s="436">
        <f t="shared" si="34"/>
        <v>23545796.160000004</v>
      </c>
      <c r="I178" s="436"/>
      <c r="J178" s="274">
        <f t="shared" si="31"/>
        <v>13941367.890000001</v>
      </c>
      <c r="K178" s="437">
        <f t="shared" si="36"/>
        <v>13941367.890000001</v>
      </c>
      <c r="O178" s="100"/>
      <c r="P178" s="100"/>
      <c r="Q178" s="100"/>
      <c r="R178" s="100"/>
      <c r="W178" s="100"/>
      <c r="X178" s="274">
        <v>1318683.46</v>
      </c>
      <c r="Y178" s="274">
        <f t="shared" si="37"/>
        <v>12622684.43</v>
      </c>
      <c r="AF178" s="274">
        <f t="shared" si="33"/>
        <v>13941367.890000001</v>
      </c>
      <c r="AO178" s="274">
        <f t="shared" si="32"/>
        <v>9604428.2700000014</v>
      </c>
    </row>
    <row r="179" spans="1:41" s="86" customFormat="1" x14ac:dyDescent="0.25">
      <c r="A179" s="183" t="s">
        <v>46</v>
      </c>
      <c r="B179" s="96"/>
      <c r="C179" s="110">
        <v>5020302000</v>
      </c>
      <c r="D179" s="157">
        <v>4000</v>
      </c>
      <c r="E179" s="97">
        <v>0</v>
      </c>
      <c r="F179" s="97"/>
      <c r="G179" s="97"/>
      <c r="H179" s="97">
        <f t="shared" si="34"/>
        <v>4000</v>
      </c>
      <c r="I179" s="97"/>
      <c r="J179" s="86">
        <f t="shared" si="31"/>
        <v>4000</v>
      </c>
      <c r="K179" s="98">
        <f t="shared" si="36"/>
        <v>4000</v>
      </c>
      <c r="O179" s="85"/>
      <c r="P179" s="85"/>
      <c r="Q179" s="85"/>
      <c r="R179" s="85"/>
      <c r="W179" s="85"/>
      <c r="X179" s="86">
        <v>5506602.4500000002</v>
      </c>
      <c r="Y179" s="86">
        <f t="shared" si="37"/>
        <v>-5502602.4500000002</v>
      </c>
      <c r="AF179" s="86">
        <f t="shared" si="33"/>
        <v>4000</v>
      </c>
      <c r="AO179" s="86">
        <f t="shared" si="32"/>
        <v>0</v>
      </c>
    </row>
    <row r="180" spans="1:41" s="181" customFormat="1" x14ac:dyDescent="0.25">
      <c r="A180" s="179" t="s">
        <v>47</v>
      </c>
      <c r="B180" s="352"/>
      <c r="C180" s="180">
        <v>5020305000</v>
      </c>
      <c r="D180" s="157">
        <v>8962526.2400000002</v>
      </c>
      <c r="E180" s="97">
        <v>0</v>
      </c>
      <c r="F180" s="353">
        <f>'[19]FC1 2024'!$I$43+1580974.63</f>
        <v>2513747.46</v>
      </c>
      <c r="G180" s="353">
        <f>'[19]FC1 2024'!$J$84</f>
        <v>1698217.3299999998</v>
      </c>
      <c r="H180" s="97">
        <f t="shared" si="34"/>
        <v>9778056.3699999992</v>
      </c>
      <c r="I180" s="353"/>
      <c r="J180" s="181">
        <f t="shared" si="31"/>
        <v>8962526.2400000002</v>
      </c>
      <c r="K180" s="354">
        <f t="shared" si="36"/>
        <v>8962526.2400000002</v>
      </c>
      <c r="O180" s="182"/>
      <c r="P180" s="182"/>
      <c r="Q180" s="182"/>
      <c r="R180" s="182"/>
      <c r="W180" s="182"/>
      <c r="X180" s="181">
        <v>0</v>
      </c>
      <c r="Y180" s="181">
        <f t="shared" si="37"/>
        <v>8962526.2400000002</v>
      </c>
      <c r="AF180" s="181">
        <f t="shared" si="33"/>
        <v>8962526.2400000002</v>
      </c>
      <c r="AO180" s="86">
        <f t="shared" si="32"/>
        <v>4211964.79</v>
      </c>
    </row>
    <row r="181" spans="1:41" s="181" customFormat="1" ht="39" customHeight="1" x14ac:dyDescent="0.25">
      <c r="A181" s="179" t="s">
        <v>144</v>
      </c>
      <c r="B181" s="352"/>
      <c r="C181" s="180">
        <v>5020306000</v>
      </c>
      <c r="D181" s="157">
        <v>46505211.920000002</v>
      </c>
      <c r="E181" s="97">
        <v>0</v>
      </c>
      <c r="F181" s="353">
        <f>'[19]FC1 2024'!$I$33+31766950.56+4055873.9+6310863.15+1457377.2+526306.2+3684801.6+115240</f>
        <v>274599996.59000003</v>
      </c>
      <c r="G181" s="353"/>
      <c r="H181" s="97">
        <f t="shared" si="34"/>
        <v>321105208.51000005</v>
      </c>
      <c r="I181" s="353"/>
      <c r="J181" s="181">
        <f t="shared" si="31"/>
        <v>46505211.920000002</v>
      </c>
      <c r="K181" s="354">
        <f t="shared" si="36"/>
        <v>46505211.920000002</v>
      </c>
      <c r="O181" s="182"/>
      <c r="P181" s="182"/>
      <c r="Q181" s="182"/>
      <c r="R181" s="182"/>
      <c r="W181" s="182"/>
      <c r="X181" s="181">
        <v>76200</v>
      </c>
      <c r="Y181" s="181">
        <f t="shared" si="37"/>
        <v>46429011.920000002</v>
      </c>
      <c r="AF181" s="181">
        <f t="shared" si="33"/>
        <v>46505211.920000002</v>
      </c>
      <c r="AO181" s="86">
        <f t="shared" si="32"/>
        <v>274599996.59000003</v>
      </c>
    </row>
    <row r="182" spans="1:41" s="181" customFormat="1" ht="29.25" customHeight="1" x14ac:dyDescent="0.25">
      <c r="A182" s="179" t="s">
        <v>48</v>
      </c>
      <c r="B182" s="352"/>
      <c r="C182" s="180">
        <v>5020307000</v>
      </c>
      <c r="D182" s="157">
        <v>612726.96</v>
      </c>
      <c r="E182" s="97">
        <v>0</v>
      </c>
      <c r="F182" s="353">
        <f>'[19]FC1 2024'!$I$41+34094+18987.5</f>
        <v>297106.26</v>
      </c>
      <c r="G182" s="353">
        <f>'[19]FC1 2024'!$J$85</f>
        <v>191795.36000000002</v>
      </c>
      <c r="H182" s="97">
        <f t="shared" si="34"/>
        <v>718037.86</v>
      </c>
      <c r="I182" s="353"/>
      <c r="J182" s="181">
        <f t="shared" si="31"/>
        <v>612726.96</v>
      </c>
      <c r="K182" s="354">
        <f t="shared" si="36"/>
        <v>612726.96</v>
      </c>
      <c r="O182" s="182"/>
      <c r="P182" s="182"/>
      <c r="Q182" s="182"/>
      <c r="R182" s="182"/>
      <c r="W182" s="182"/>
      <c r="X182" s="181">
        <v>119953</v>
      </c>
      <c r="Y182" s="181">
        <f t="shared" si="37"/>
        <v>492773.95999999996</v>
      </c>
      <c r="AF182" s="181">
        <f t="shared" si="33"/>
        <v>612726.96</v>
      </c>
      <c r="AO182" s="86">
        <f t="shared" si="32"/>
        <v>488901.62</v>
      </c>
    </row>
    <row r="183" spans="1:41" s="181" customFormat="1" x14ac:dyDescent="0.25">
      <c r="A183" s="355" t="s">
        <v>49</v>
      </c>
      <c r="B183" s="356"/>
      <c r="C183" s="301">
        <v>5020308000</v>
      </c>
      <c r="D183" s="157">
        <v>664832.44999999995</v>
      </c>
      <c r="E183" s="97">
        <v>0</v>
      </c>
      <c r="F183" s="353">
        <f>'[19]FC1 2024'!$I$65+5000+14240+84999.75</f>
        <v>152424.75</v>
      </c>
      <c r="G183" s="353">
        <f>'[19]FC1 2024'!$J$83</f>
        <v>433124.75</v>
      </c>
      <c r="H183" s="97">
        <f t="shared" si="34"/>
        <v>384132.44999999995</v>
      </c>
      <c r="I183" s="353"/>
      <c r="J183" s="181">
        <f t="shared" si="31"/>
        <v>664832.44999999995</v>
      </c>
      <c r="K183" s="354">
        <f t="shared" si="36"/>
        <v>664832.44999999995</v>
      </c>
      <c r="O183" s="182"/>
      <c r="P183" s="182"/>
      <c r="Q183" s="182"/>
      <c r="R183" s="182"/>
      <c r="W183" s="182"/>
      <c r="AF183" s="181">
        <f t="shared" si="33"/>
        <v>664832.44999999995</v>
      </c>
      <c r="AO183" s="86">
        <f t="shared" si="32"/>
        <v>585549.5</v>
      </c>
    </row>
    <row r="184" spans="1:41" s="181" customFormat="1" ht="30.75" customHeight="1" x14ac:dyDescent="0.25">
      <c r="A184" s="179" t="s">
        <v>145</v>
      </c>
      <c r="B184" s="352"/>
      <c r="C184" s="180">
        <v>5020309000</v>
      </c>
      <c r="D184" s="157">
        <v>4554578.22</v>
      </c>
      <c r="E184" s="97">
        <v>0</v>
      </c>
      <c r="F184" s="353">
        <f>'[19]FC1 2024'!$I$56</f>
        <v>2906.83</v>
      </c>
      <c r="G184" s="353"/>
      <c r="H184" s="97">
        <f t="shared" si="34"/>
        <v>4557485.05</v>
      </c>
      <c r="I184" s="353"/>
      <c r="J184" s="181">
        <f t="shared" ref="J184:J190" si="38">D184+E184</f>
        <v>4554578.22</v>
      </c>
      <c r="K184" s="354">
        <f t="shared" si="36"/>
        <v>4554578.22</v>
      </c>
      <c r="O184" s="182"/>
      <c r="P184" s="182"/>
      <c r="Q184" s="182"/>
      <c r="R184" s="182"/>
      <c r="W184" s="182"/>
      <c r="X184" s="181">
        <v>0</v>
      </c>
      <c r="Y184" s="181">
        <f t="shared" ref="Y184:Y190" si="39">D184-X184</f>
        <v>4554578.22</v>
      </c>
      <c r="AF184" s="181">
        <f t="shared" si="33"/>
        <v>4554578.22</v>
      </c>
      <c r="AO184" s="86">
        <f t="shared" ref="AO184:AO190" si="40">F184+G184</f>
        <v>2906.83</v>
      </c>
    </row>
    <row r="185" spans="1:41" s="86" customFormat="1" x14ac:dyDescent="0.25">
      <c r="A185" s="183" t="s">
        <v>211</v>
      </c>
      <c r="B185" s="96"/>
      <c r="C185" s="110">
        <v>5020399000</v>
      </c>
      <c r="D185" s="157">
        <v>4627777.12</v>
      </c>
      <c r="E185" s="97">
        <v>0</v>
      </c>
      <c r="F185" s="97">
        <f>'[19]FC1 2024'!$I$44+'[19]FC1 2024'!$I$32+116598832.78+433909.45+30101.5+61776999.38+181730+10769713.5+678562.05</f>
        <v>549164570.13999987</v>
      </c>
      <c r="G185" s="97">
        <f>'[19]FC1 2024'!$J$86</f>
        <v>8193363.879999999</v>
      </c>
      <c r="H185" s="97">
        <f t="shared" si="34"/>
        <v>545598983.37999988</v>
      </c>
      <c r="I185" s="97"/>
      <c r="J185" s="86">
        <f t="shared" si="38"/>
        <v>4627777.12</v>
      </c>
      <c r="K185" s="98">
        <f t="shared" si="36"/>
        <v>4627777.12</v>
      </c>
      <c r="O185" s="85"/>
      <c r="P185" s="85"/>
      <c r="Q185" s="85"/>
      <c r="R185" s="85"/>
      <c r="W185" s="85"/>
      <c r="X185" s="86">
        <v>0</v>
      </c>
      <c r="Y185" s="86">
        <f t="shared" si="39"/>
        <v>4627777.12</v>
      </c>
      <c r="AF185" s="86">
        <f t="shared" si="33"/>
        <v>4627777.12</v>
      </c>
      <c r="AO185" s="86">
        <f t="shared" si="40"/>
        <v>557357934.01999986</v>
      </c>
    </row>
    <row r="186" spans="1:41" s="86" customFormat="1" ht="31.5" x14ac:dyDescent="0.25">
      <c r="A186" s="183" t="s">
        <v>373</v>
      </c>
      <c r="B186" s="96"/>
      <c r="C186" s="110">
        <v>5020321002</v>
      </c>
      <c r="D186" s="157">
        <v>1347125.2</v>
      </c>
      <c r="E186" s="97">
        <v>0</v>
      </c>
      <c r="F186" s="97">
        <f>'[19]FC1 2024'!$I$51+155946+91996</f>
        <v>395837</v>
      </c>
      <c r="G186" s="97"/>
      <c r="H186" s="97">
        <f t="shared" si="34"/>
        <v>1742962.2</v>
      </c>
      <c r="I186" s="97"/>
      <c r="J186" s="86">
        <f t="shared" si="38"/>
        <v>1347125.2</v>
      </c>
      <c r="K186" s="98">
        <f t="shared" si="36"/>
        <v>1347125.2</v>
      </c>
      <c r="O186" s="85"/>
      <c r="P186" s="85"/>
      <c r="Q186" s="85"/>
      <c r="R186" s="85"/>
      <c r="W186" s="85"/>
      <c r="X186" s="86">
        <v>18100</v>
      </c>
      <c r="Y186" s="86">
        <f t="shared" si="39"/>
        <v>1329025.2</v>
      </c>
      <c r="AF186" s="86">
        <f t="shared" si="33"/>
        <v>1347125.2</v>
      </c>
      <c r="AO186" s="86">
        <f t="shared" si="40"/>
        <v>395837</v>
      </c>
    </row>
    <row r="187" spans="1:41" s="86" customFormat="1" x14ac:dyDescent="0.25">
      <c r="A187" s="183" t="s">
        <v>372</v>
      </c>
      <c r="B187" s="96"/>
      <c r="C187" s="110">
        <v>5020321003</v>
      </c>
      <c r="D187" s="157">
        <v>11495992.779999999</v>
      </c>
      <c r="E187" s="97">
        <v>0</v>
      </c>
      <c r="F187" s="97">
        <f>'[19]FC1 2024'!$I$57+128315.97</f>
        <v>1125704.42</v>
      </c>
      <c r="G187" s="97"/>
      <c r="H187" s="97">
        <f t="shared" si="34"/>
        <v>12621697.199999999</v>
      </c>
      <c r="I187" s="97"/>
      <c r="J187" s="86">
        <f t="shared" si="38"/>
        <v>11495992.779999999</v>
      </c>
      <c r="K187" s="98">
        <f t="shared" si="36"/>
        <v>11495992.779999999</v>
      </c>
      <c r="O187" s="85"/>
      <c r="P187" s="85"/>
      <c r="Q187" s="85"/>
      <c r="R187" s="85"/>
      <c r="W187" s="85"/>
      <c r="X187" s="86">
        <v>0</v>
      </c>
      <c r="Y187" s="86">
        <f t="shared" si="39"/>
        <v>11495992.779999999</v>
      </c>
      <c r="AF187" s="86">
        <f t="shared" si="33"/>
        <v>11495992.779999999</v>
      </c>
      <c r="AO187" s="86">
        <f t="shared" si="40"/>
        <v>1125704.42</v>
      </c>
    </row>
    <row r="188" spans="1:41" s="86" customFormat="1" ht="31.5" x14ac:dyDescent="0.25">
      <c r="A188" s="183" t="s">
        <v>374</v>
      </c>
      <c r="B188" s="96"/>
      <c r="C188" s="110">
        <v>5020321007</v>
      </c>
      <c r="D188" s="157">
        <v>119133.7</v>
      </c>
      <c r="E188" s="97">
        <v>0</v>
      </c>
      <c r="F188" s="97"/>
      <c r="G188" s="97"/>
      <c r="H188" s="97">
        <f t="shared" si="34"/>
        <v>119133.7</v>
      </c>
      <c r="I188" s="97"/>
      <c r="J188" s="86">
        <f t="shared" si="38"/>
        <v>119133.7</v>
      </c>
      <c r="K188" s="98">
        <f t="shared" si="36"/>
        <v>119133.7</v>
      </c>
      <c r="O188" s="85"/>
      <c r="P188" s="85"/>
      <c r="Q188" s="85"/>
      <c r="R188" s="85"/>
      <c r="W188" s="85"/>
      <c r="X188" s="86">
        <v>598873.05000000005</v>
      </c>
      <c r="Y188" s="86">
        <f t="shared" si="39"/>
        <v>-479739.35000000003</v>
      </c>
      <c r="AF188" s="86">
        <f t="shared" si="33"/>
        <v>119133.7</v>
      </c>
      <c r="AO188" s="86">
        <f t="shared" si="40"/>
        <v>0</v>
      </c>
    </row>
    <row r="189" spans="1:41" s="86" customFormat="1" ht="31.5" x14ac:dyDescent="0.25">
      <c r="A189" s="183" t="s">
        <v>380</v>
      </c>
      <c r="B189" s="96"/>
      <c r="C189" s="110">
        <v>5020321001</v>
      </c>
      <c r="D189" s="157">
        <v>12289</v>
      </c>
      <c r="E189" s="97">
        <v>0</v>
      </c>
      <c r="F189" s="97">
        <v>59670</v>
      </c>
      <c r="G189" s="97"/>
      <c r="H189" s="97">
        <f t="shared" si="34"/>
        <v>71959</v>
      </c>
      <c r="I189" s="97"/>
      <c r="J189" s="86">
        <f t="shared" si="38"/>
        <v>12289</v>
      </c>
      <c r="K189" s="98">
        <f t="shared" si="36"/>
        <v>12289</v>
      </c>
      <c r="O189" s="85"/>
      <c r="P189" s="85"/>
      <c r="Q189" s="85"/>
      <c r="R189" s="85"/>
      <c r="W189" s="85"/>
      <c r="X189" s="86">
        <v>4123722.52</v>
      </c>
      <c r="Y189" s="86">
        <f t="shared" si="39"/>
        <v>-4111433.52</v>
      </c>
      <c r="AF189" s="86">
        <f t="shared" si="33"/>
        <v>12289</v>
      </c>
      <c r="AO189" s="86">
        <f t="shared" si="40"/>
        <v>59670</v>
      </c>
    </row>
    <row r="190" spans="1:41" s="86" customFormat="1" ht="31.5" x14ac:dyDescent="0.25">
      <c r="A190" s="183" t="s">
        <v>376</v>
      </c>
      <c r="B190" s="96"/>
      <c r="C190" s="110">
        <v>5020321010</v>
      </c>
      <c r="D190" s="157">
        <v>403997</v>
      </c>
      <c r="E190" s="97">
        <v>0</v>
      </c>
      <c r="F190" s="97">
        <f>'[19]FC1 2024'!$I$70+22557</f>
        <v>84963</v>
      </c>
      <c r="G190" s="97"/>
      <c r="H190" s="97">
        <f t="shared" si="34"/>
        <v>488960</v>
      </c>
      <c r="I190" s="97"/>
      <c r="J190" s="86">
        <f t="shared" si="38"/>
        <v>403997</v>
      </c>
      <c r="K190" s="98">
        <f t="shared" si="36"/>
        <v>403997</v>
      </c>
      <c r="O190" s="85"/>
      <c r="P190" s="85"/>
      <c r="Q190" s="85"/>
      <c r="R190" s="85"/>
      <c r="W190" s="85"/>
      <c r="X190" s="86">
        <v>132069</v>
      </c>
      <c r="Y190" s="86">
        <f t="shared" si="39"/>
        <v>271928</v>
      </c>
      <c r="AF190" s="86">
        <f t="shared" si="33"/>
        <v>403997</v>
      </c>
      <c r="AO190" s="86">
        <f t="shared" si="40"/>
        <v>84963</v>
      </c>
    </row>
    <row r="191" spans="1:41" s="86" customFormat="1" x14ac:dyDescent="0.25">
      <c r="A191" s="183" t="s">
        <v>531</v>
      </c>
      <c r="B191" s="96"/>
      <c r="C191" s="110">
        <v>5020321012</v>
      </c>
      <c r="D191" s="157">
        <v>2875</v>
      </c>
      <c r="E191" s="97">
        <v>0</v>
      </c>
      <c r="F191" s="97">
        <f>53313</f>
        <v>53313</v>
      </c>
      <c r="G191" s="97"/>
      <c r="H191" s="97">
        <f t="shared" si="34"/>
        <v>56188</v>
      </c>
      <c r="I191" s="97"/>
      <c r="K191" s="98"/>
      <c r="O191" s="85"/>
      <c r="P191" s="85"/>
      <c r="Q191" s="85"/>
      <c r="R191" s="85"/>
      <c r="W191" s="85"/>
    </row>
    <row r="192" spans="1:41" s="86" customFormat="1" x14ac:dyDescent="0.25">
      <c r="A192" s="183" t="s">
        <v>501</v>
      </c>
      <c r="B192" s="96"/>
      <c r="C192" s="110">
        <v>5020321013</v>
      </c>
      <c r="D192" s="157">
        <v>0</v>
      </c>
      <c r="E192" s="97">
        <v>0</v>
      </c>
      <c r="F192" s="97"/>
      <c r="G192" s="97"/>
      <c r="H192" s="97">
        <f t="shared" si="34"/>
        <v>0</v>
      </c>
      <c r="I192" s="97"/>
      <c r="J192" s="86">
        <f t="shared" ref="J192:J227" si="41">D192+E192</f>
        <v>0</v>
      </c>
      <c r="K192" s="98">
        <f t="shared" ref="K192:K205" si="42">SUM(D192:E192)</f>
        <v>0</v>
      </c>
      <c r="O192" s="85"/>
      <c r="P192" s="85"/>
      <c r="Q192" s="85"/>
      <c r="R192" s="85"/>
      <c r="W192" s="85"/>
      <c r="AF192" s="86">
        <f t="shared" ref="AF192:AF222" si="43">D192+E192</f>
        <v>0</v>
      </c>
      <c r="AO192" s="86">
        <f t="shared" ref="AO192:AO227" si="44">F192+G192</f>
        <v>0</v>
      </c>
    </row>
    <row r="193" spans="1:41" s="86" customFormat="1" x14ac:dyDescent="0.25">
      <c r="A193" s="95" t="s">
        <v>539</v>
      </c>
      <c r="B193" s="96"/>
      <c r="C193" s="110">
        <v>5020321099</v>
      </c>
      <c r="D193" s="157">
        <v>952105.75</v>
      </c>
      <c r="E193" s="97">
        <v>0</v>
      </c>
      <c r="F193" s="97">
        <f>56300</f>
        <v>56300</v>
      </c>
      <c r="G193" s="97">
        <f>'[19]FC1 2024'!$J$82</f>
        <v>240785</v>
      </c>
      <c r="H193" s="97">
        <f t="shared" si="34"/>
        <v>767620.75</v>
      </c>
      <c r="I193" s="97"/>
      <c r="J193" s="86">
        <f t="shared" si="41"/>
        <v>952105.75</v>
      </c>
      <c r="K193" s="98">
        <f t="shared" si="42"/>
        <v>952105.75</v>
      </c>
      <c r="O193" s="85"/>
      <c r="P193" s="85"/>
      <c r="Q193" s="85"/>
      <c r="R193" s="85"/>
      <c r="W193" s="85"/>
      <c r="X193" s="86">
        <v>48563.21</v>
      </c>
      <c r="Y193" s="86">
        <f t="shared" ref="Y193:Y222" si="45">D193-X193</f>
        <v>903542.54</v>
      </c>
      <c r="AF193" s="86">
        <f t="shared" si="43"/>
        <v>952105.75</v>
      </c>
      <c r="AO193" s="86">
        <f t="shared" si="44"/>
        <v>297085</v>
      </c>
    </row>
    <row r="194" spans="1:41" s="86" customFormat="1" x14ac:dyDescent="0.25">
      <c r="A194" s="183" t="s">
        <v>375</v>
      </c>
      <c r="B194" s="96"/>
      <c r="C194" s="110">
        <v>5020322001</v>
      </c>
      <c r="D194" s="157">
        <v>1516087.45</v>
      </c>
      <c r="E194" s="97">
        <v>0</v>
      </c>
      <c r="F194" s="97">
        <f>'[19]FC1 2024'!$I$63+102567+91300+343400</f>
        <v>1369894</v>
      </c>
      <c r="G194" s="97">
        <f>'[19]FC1 2024'!$J$81</f>
        <v>13200</v>
      </c>
      <c r="H194" s="97">
        <f t="shared" si="34"/>
        <v>2872781.45</v>
      </c>
      <c r="I194" s="97"/>
      <c r="J194" s="86">
        <f t="shared" si="41"/>
        <v>1516087.45</v>
      </c>
      <c r="K194" s="98">
        <f t="shared" si="42"/>
        <v>1516087.45</v>
      </c>
      <c r="O194" s="85"/>
      <c r="P194" s="85"/>
      <c r="Q194" s="85"/>
      <c r="R194" s="85"/>
      <c r="W194" s="85"/>
      <c r="X194" s="86">
        <v>1103620.3899999999</v>
      </c>
      <c r="Y194" s="86">
        <f t="shared" si="45"/>
        <v>412467.06000000006</v>
      </c>
      <c r="AF194" s="86">
        <f t="shared" si="43"/>
        <v>1516087.45</v>
      </c>
      <c r="AO194" s="86">
        <f t="shared" si="44"/>
        <v>1383094</v>
      </c>
    </row>
    <row r="195" spans="1:41" s="86" customFormat="1" x14ac:dyDescent="0.25">
      <c r="A195" s="183" t="s">
        <v>51</v>
      </c>
      <c r="B195" s="96"/>
      <c r="C195" s="110">
        <v>5020401000</v>
      </c>
      <c r="D195" s="157">
        <v>1243309.07</v>
      </c>
      <c r="E195" s="97">
        <v>0</v>
      </c>
      <c r="F195" s="97">
        <f>'[19]FC1 2024'!$I$39</f>
        <v>17400</v>
      </c>
      <c r="G195" s="97"/>
      <c r="H195" s="97">
        <f t="shared" si="34"/>
        <v>1260709.07</v>
      </c>
      <c r="I195" s="97"/>
      <c r="J195" s="86">
        <f t="shared" si="41"/>
        <v>1243309.07</v>
      </c>
      <c r="K195" s="98">
        <f t="shared" si="42"/>
        <v>1243309.07</v>
      </c>
      <c r="O195" s="85"/>
      <c r="P195" s="85"/>
      <c r="Q195" s="85"/>
      <c r="R195" s="85"/>
      <c r="W195" s="85"/>
      <c r="X195" s="86">
        <v>71137.42</v>
      </c>
      <c r="Y195" s="86">
        <f t="shared" si="45"/>
        <v>1172171.6500000001</v>
      </c>
      <c r="AF195" s="86">
        <f t="shared" si="43"/>
        <v>1243309.07</v>
      </c>
      <c r="AO195" s="86">
        <f t="shared" si="44"/>
        <v>17400</v>
      </c>
    </row>
    <row r="196" spans="1:41" s="86" customFormat="1" ht="16.5" customHeight="1" x14ac:dyDescent="0.25">
      <c r="A196" s="183" t="s">
        <v>52</v>
      </c>
      <c r="B196" s="96"/>
      <c r="C196" s="110">
        <v>5020402000</v>
      </c>
      <c r="D196" s="157">
        <v>10657240.83</v>
      </c>
      <c r="E196" s="97">
        <v>0</v>
      </c>
      <c r="F196" s="97">
        <f>'[19]FC1 2024'!$I$36</f>
        <v>55368.6</v>
      </c>
      <c r="G196" s="97"/>
      <c r="H196" s="97">
        <f t="shared" si="34"/>
        <v>10712609.43</v>
      </c>
      <c r="I196" s="97"/>
      <c r="J196" s="86">
        <f t="shared" si="41"/>
        <v>10657240.83</v>
      </c>
      <c r="K196" s="98">
        <f t="shared" si="42"/>
        <v>10657240.83</v>
      </c>
      <c r="O196" s="85"/>
      <c r="P196" s="85"/>
      <c r="Q196" s="85"/>
      <c r="R196" s="85"/>
      <c r="W196" s="85"/>
      <c r="X196" s="86">
        <v>8143.28</v>
      </c>
      <c r="Y196" s="86">
        <f t="shared" si="45"/>
        <v>10649097.550000001</v>
      </c>
      <c r="AF196" s="86">
        <f t="shared" si="43"/>
        <v>10657240.83</v>
      </c>
      <c r="AO196" s="86">
        <f t="shared" si="44"/>
        <v>55368.6</v>
      </c>
    </row>
    <row r="197" spans="1:41" s="86" customFormat="1" ht="16.5" customHeight="1" x14ac:dyDescent="0.25">
      <c r="A197" s="284" t="s">
        <v>406</v>
      </c>
      <c r="B197" s="96"/>
      <c r="C197" s="110">
        <v>5020501000</v>
      </c>
      <c r="D197" s="157">
        <v>614794.18000000005</v>
      </c>
      <c r="E197" s="97">
        <v>0</v>
      </c>
      <c r="F197" s="97">
        <f>'[19]FC1 2024'!$I$28+39910</f>
        <v>61395</v>
      </c>
      <c r="G197" s="97"/>
      <c r="H197" s="97">
        <f t="shared" si="34"/>
        <v>676189.18</v>
      </c>
      <c r="I197" s="97"/>
      <c r="J197" s="86">
        <f t="shared" si="41"/>
        <v>614794.18000000005</v>
      </c>
      <c r="K197" s="98">
        <f t="shared" si="42"/>
        <v>614794.18000000005</v>
      </c>
      <c r="O197" s="85"/>
      <c r="P197" s="85"/>
      <c r="Q197" s="85"/>
      <c r="R197" s="85"/>
      <c r="W197" s="85"/>
      <c r="X197" s="86">
        <v>0</v>
      </c>
      <c r="Y197" s="86">
        <f t="shared" si="45"/>
        <v>614794.18000000005</v>
      </c>
      <c r="AF197" s="86">
        <f t="shared" si="43"/>
        <v>614794.18000000005</v>
      </c>
      <c r="AO197" s="86">
        <f t="shared" si="44"/>
        <v>61395</v>
      </c>
    </row>
    <row r="198" spans="1:41" s="86" customFormat="1" x14ac:dyDescent="0.25">
      <c r="A198" s="183" t="s">
        <v>54</v>
      </c>
      <c r="B198" s="96"/>
      <c r="C198" s="110">
        <v>5020502002</v>
      </c>
      <c r="D198" s="157">
        <v>9665.27</v>
      </c>
      <c r="E198" s="97">
        <v>0</v>
      </c>
      <c r="F198" s="97"/>
      <c r="G198" s="97"/>
      <c r="H198" s="97">
        <f t="shared" si="34"/>
        <v>9665.27</v>
      </c>
      <c r="I198" s="97"/>
      <c r="J198" s="86">
        <f t="shared" si="41"/>
        <v>9665.27</v>
      </c>
      <c r="K198" s="98">
        <f t="shared" si="42"/>
        <v>9665.27</v>
      </c>
      <c r="O198" s="85"/>
      <c r="P198" s="85"/>
      <c r="Q198" s="85"/>
      <c r="R198" s="85"/>
      <c r="W198" s="85"/>
      <c r="X198" s="86">
        <v>0</v>
      </c>
      <c r="Y198" s="86">
        <f t="shared" si="45"/>
        <v>9665.27</v>
      </c>
      <c r="AF198" s="86">
        <f t="shared" si="43"/>
        <v>9665.27</v>
      </c>
      <c r="AO198" s="86">
        <f t="shared" si="44"/>
        <v>0</v>
      </c>
    </row>
    <row r="199" spans="1:41" s="86" customFormat="1" x14ac:dyDescent="0.25">
      <c r="A199" s="285" t="s">
        <v>55</v>
      </c>
      <c r="B199" s="96"/>
      <c r="C199" s="110">
        <v>5020502001</v>
      </c>
      <c r="D199" s="157">
        <v>8005980.3200000003</v>
      </c>
      <c r="E199" s="97">
        <v>0</v>
      </c>
      <c r="F199" s="97">
        <f>'[19]FC1 2024'!$I$22</f>
        <v>4398.93</v>
      </c>
      <c r="G199" s="97"/>
      <c r="H199" s="97">
        <f t="shared" si="34"/>
        <v>8010379.25</v>
      </c>
      <c r="I199" s="97"/>
      <c r="J199" s="86">
        <f t="shared" si="41"/>
        <v>8005980.3200000003</v>
      </c>
      <c r="K199" s="98">
        <f t="shared" si="42"/>
        <v>8005980.3200000003</v>
      </c>
      <c r="O199" s="85"/>
      <c r="P199" s="85"/>
      <c r="Q199" s="85"/>
      <c r="R199" s="85"/>
      <c r="W199" s="85"/>
      <c r="X199" s="86">
        <v>0</v>
      </c>
      <c r="Y199" s="86">
        <f t="shared" si="45"/>
        <v>8005980.3200000003</v>
      </c>
      <c r="AF199" s="86">
        <f t="shared" si="43"/>
        <v>8005980.3200000003</v>
      </c>
      <c r="AO199" s="86">
        <f t="shared" si="44"/>
        <v>4398.93</v>
      </c>
    </row>
    <row r="200" spans="1:41" s="86" customFormat="1" x14ac:dyDescent="0.25">
      <c r="A200" s="183" t="s">
        <v>146</v>
      </c>
      <c r="B200" s="96"/>
      <c r="C200" s="110">
        <v>5020503000</v>
      </c>
      <c r="D200" s="157">
        <v>97957.79</v>
      </c>
      <c r="E200" s="97">
        <v>0</v>
      </c>
      <c r="F200" s="97"/>
      <c r="G200" s="97"/>
      <c r="H200" s="97">
        <f t="shared" si="34"/>
        <v>97957.79</v>
      </c>
      <c r="I200" s="97"/>
      <c r="J200" s="86">
        <f t="shared" si="41"/>
        <v>97957.79</v>
      </c>
      <c r="K200" s="98">
        <f t="shared" si="42"/>
        <v>97957.79</v>
      </c>
      <c r="O200" s="85"/>
      <c r="P200" s="85"/>
      <c r="Q200" s="85"/>
      <c r="R200" s="85"/>
      <c r="W200" s="85"/>
      <c r="X200" s="86">
        <v>235650</v>
      </c>
      <c r="Y200" s="86">
        <f t="shared" si="45"/>
        <v>-137692.21000000002</v>
      </c>
      <c r="AF200" s="86">
        <f t="shared" si="43"/>
        <v>97957.79</v>
      </c>
      <c r="AO200" s="86">
        <f t="shared" si="44"/>
        <v>0</v>
      </c>
    </row>
    <row r="201" spans="1:41" s="86" customFormat="1" x14ac:dyDescent="0.25">
      <c r="A201" s="183" t="s">
        <v>56</v>
      </c>
      <c r="B201" s="96"/>
      <c r="C201" s="110">
        <v>5020504000</v>
      </c>
      <c r="D201" s="157">
        <v>930</v>
      </c>
      <c r="E201" s="97">
        <v>0</v>
      </c>
      <c r="F201" s="97"/>
      <c r="G201" s="97"/>
      <c r="H201" s="97">
        <f t="shared" si="34"/>
        <v>930</v>
      </c>
      <c r="I201" s="97"/>
      <c r="J201" s="86">
        <f t="shared" si="41"/>
        <v>930</v>
      </c>
      <c r="K201" s="98">
        <f t="shared" si="42"/>
        <v>930</v>
      </c>
      <c r="O201" s="85"/>
      <c r="P201" s="85"/>
      <c r="Q201" s="85"/>
      <c r="R201" s="85"/>
      <c r="W201" s="85"/>
      <c r="X201" s="86">
        <v>1869423</v>
      </c>
      <c r="Y201" s="86">
        <f t="shared" si="45"/>
        <v>-1868493</v>
      </c>
      <c r="AF201" s="86">
        <f t="shared" si="43"/>
        <v>930</v>
      </c>
      <c r="AO201" s="86">
        <f t="shared" si="44"/>
        <v>0</v>
      </c>
    </row>
    <row r="202" spans="1:41" s="86" customFormat="1" x14ac:dyDescent="0.25">
      <c r="A202" s="183" t="s">
        <v>57</v>
      </c>
      <c r="B202" s="96"/>
      <c r="C202" s="110">
        <v>5029906000</v>
      </c>
      <c r="D202" s="157">
        <v>0</v>
      </c>
      <c r="E202" s="97">
        <v>0</v>
      </c>
      <c r="F202" s="97"/>
      <c r="G202" s="97"/>
      <c r="H202" s="97">
        <f t="shared" ref="H202:H233" si="46">D202+F202-G202</f>
        <v>0</v>
      </c>
      <c r="I202" s="97"/>
      <c r="J202" s="86">
        <f t="shared" si="41"/>
        <v>0</v>
      </c>
      <c r="K202" s="98">
        <f t="shared" si="42"/>
        <v>0</v>
      </c>
      <c r="O202" s="85"/>
      <c r="P202" s="85"/>
      <c r="Q202" s="85"/>
      <c r="R202" s="85"/>
      <c r="W202" s="85"/>
      <c r="X202" s="86">
        <v>2073227.07</v>
      </c>
      <c r="Y202" s="86">
        <f t="shared" si="45"/>
        <v>-2073227.07</v>
      </c>
      <c r="AF202" s="86">
        <f t="shared" si="43"/>
        <v>0</v>
      </c>
      <c r="AO202" s="86">
        <f t="shared" si="44"/>
        <v>0</v>
      </c>
    </row>
    <row r="203" spans="1:41" s="86" customFormat="1" x14ac:dyDescent="0.25">
      <c r="A203" s="183" t="s">
        <v>147</v>
      </c>
      <c r="B203" s="96"/>
      <c r="C203" s="110">
        <v>5020601001</v>
      </c>
      <c r="D203" s="157">
        <v>0</v>
      </c>
      <c r="E203" s="97">
        <v>0</v>
      </c>
      <c r="F203" s="97"/>
      <c r="G203" s="97"/>
      <c r="H203" s="97">
        <f t="shared" si="46"/>
        <v>0</v>
      </c>
      <c r="I203" s="97"/>
      <c r="J203" s="86">
        <f t="shared" si="41"/>
        <v>0</v>
      </c>
      <c r="K203" s="98">
        <f t="shared" si="42"/>
        <v>0</v>
      </c>
      <c r="O203" s="85"/>
      <c r="P203" s="85"/>
      <c r="Q203" s="85"/>
      <c r="R203" s="85"/>
      <c r="W203" s="85"/>
      <c r="X203" s="86">
        <v>478653.94</v>
      </c>
      <c r="Y203" s="86">
        <f t="shared" si="45"/>
        <v>-478653.94</v>
      </c>
      <c r="AF203" s="86">
        <f t="shared" si="43"/>
        <v>0</v>
      </c>
      <c r="AO203" s="86">
        <f t="shared" si="44"/>
        <v>0</v>
      </c>
    </row>
    <row r="204" spans="1:41" s="86" customFormat="1" x14ac:dyDescent="0.25">
      <c r="A204" s="183" t="s">
        <v>209</v>
      </c>
      <c r="B204" s="96"/>
      <c r="C204" s="110">
        <v>5020901002</v>
      </c>
      <c r="D204" s="157">
        <v>0</v>
      </c>
      <c r="E204" s="97">
        <v>0</v>
      </c>
      <c r="F204" s="97"/>
      <c r="G204" s="97"/>
      <c r="H204" s="97">
        <f t="shared" si="46"/>
        <v>0</v>
      </c>
      <c r="I204" s="97"/>
      <c r="J204" s="86">
        <f t="shared" si="41"/>
        <v>0</v>
      </c>
      <c r="K204" s="98">
        <f t="shared" si="42"/>
        <v>0</v>
      </c>
      <c r="O204" s="85"/>
      <c r="P204" s="85"/>
      <c r="Q204" s="85"/>
      <c r="R204" s="85"/>
      <c r="W204" s="85"/>
      <c r="X204" s="86">
        <v>6078208.6799999997</v>
      </c>
      <c r="Y204" s="86">
        <f t="shared" si="45"/>
        <v>-6078208.6799999997</v>
      </c>
      <c r="AF204" s="86">
        <f t="shared" si="43"/>
        <v>0</v>
      </c>
      <c r="AO204" s="86">
        <f t="shared" si="44"/>
        <v>0</v>
      </c>
    </row>
    <row r="205" spans="1:41" s="86" customFormat="1" x14ac:dyDescent="0.25">
      <c r="A205" s="183" t="s">
        <v>210</v>
      </c>
      <c r="B205" s="96"/>
      <c r="C205" s="110">
        <v>5020602000</v>
      </c>
      <c r="D205" s="157">
        <v>134000</v>
      </c>
      <c r="E205" s="97">
        <v>0</v>
      </c>
      <c r="F205" s="97"/>
      <c r="G205" s="97"/>
      <c r="H205" s="97">
        <f t="shared" si="46"/>
        <v>134000</v>
      </c>
      <c r="I205" s="97"/>
      <c r="J205" s="86">
        <f t="shared" si="41"/>
        <v>134000</v>
      </c>
      <c r="K205" s="98">
        <f t="shared" si="42"/>
        <v>134000</v>
      </c>
      <c r="O205" s="85"/>
      <c r="P205" s="85"/>
      <c r="Q205" s="85"/>
      <c r="R205" s="85"/>
      <c r="W205" s="85"/>
      <c r="X205" s="86">
        <v>2433000</v>
      </c>
      <c r="Y205" s="86">
        <f t="shared" si="45"/>
        <v>-2299000</v>
      </c>
      <c r="AF205" s="86">
        <f t="shared" si="43"/>
        <v>134000</v>
      </c>
      <c r="AO205" s="86">
        <f t="shared" si="44"/>
        <v>0</v>
      </c>
    </row>
    <row r="206" spans="1:41" s="86" customFormat="1" ht="16.5" customHeight="1" x14ac:dyDescent="0.25">
      <c r="A206" s="95" t="s">
        <v>540</v>
      </c>
      <c r="B206" s="96"/>
      <c r="C206" s="110">
        <v>5029901000</v>
      </c>
      <c r="D206" s="157">
        <v>1427315</v>
      </c>
      <c r="E206" s="97">
        <v>0</v>
      </c>
      <c r="F206" s="97">
        <v>6000</v>
      </c>
      <c r="G206" s="97">
        <v>181730</v>
      </c>
      <c r="H206" s="97">
        <f t="shared" si="46"/>
        <v>1251585</v>
      </c>
      <c r="I206" s="97"/>
      <c r="J206" s="86">
        <f t="shared" si="41"/>
        <v>1427315</v>
      </c>
      <c r="K206" s="98"/>
      <c r="O206" s="85"/>
      <c r="P206" s="85"/>
      <c r="Q206" s="85"/>
      <c r="R206" s="85"/>
      <c r="W206" s="85"/>
      <c r="X206" s="86">
        <v>154800</v>
      </c>
      <c r="Y206" s="86">
        <f t="shared" si="45"/>
        <v>1272515</v>
      </c>
      <c r="AF206" s="86">
        <f t="shared" si="43"/>
        <v>1427315</v>
      </c>
      <c r="AO206" s="86">
        <f t="shared" si="44"/>
        <v>187730</v>
      </c>
    </row>
    <row r="207" spans="1:41" s="86" customFormat="1" ht="16.5" customHeight="1" x14ac:dyDescent="0.25">
      <c r="A207" s="183" t="s">
        <v>148</v>
      </c>
      <c r="B207" s="96"/>
      <c r="C207" s="96">
        <v>5029902000</v>
      </c>
      <c r="D207" s="157">
        <v>2112500.4</v>
      </c>
      <c r="E207" s="97">
        <v>0</v>
      </c>
      <c r="F207" s="97">
        <f>170750+9800+94000</f>
        <v>274550</v>
      </c>
      <c r="G207" s="97"/>
      <c r="H207" s="97">
        <f t="shared" si="46"/>
        <v>2387050.4</v>
      </c>
      <c r="I207" s="97"/>
      <c r="J207" s="86">
        <f t="shared" si="41"/>
        <v>2112500.4</v>
      </c>
      <c r="K207" s="98">
        <f t="shared" ref="K207:K220" si="47">SUM(D207:E207)</f>
        <v>2112500.4</v>
      </c>
      <c r="O207" s="85"/>
      <c r="P207" s="85"/>
      <c r="Q207" s="85"/>
      <c r="R207" s="85"/>
      <c r="W207" s="85"/>
      <c r="X207" s="86">
        <v>0</v>
      </c>
      <c r="Y207" s="86">
        <f t="shared" si="45"/>
        <v>2112500.4</v>
      </c>
      <c r="AF207" s="86">
        <f t="shared" si="43"/>
        <v>2112500.4</v>
      </c>
      <c r="AO207" s="86">
        <f t="shared" si="44"/>
        <v>274550</v>
      </c>
    </row>
    <row r="208" spans="1:41" s="86" customFormat="1" x14ac:dyDescent="0.25">
      <c r="A208" s="183" t="s">
        <v>59</v>
      </c>
      <c r="B208" s="96"/>
      <c r="C208" s="110">
        <v>5029903000</v>
      </c>
      <c r="D208" s="157">
        <v>6764260.4500000002</v>
      </c>
      <c r="E208" s="97">
        <v>0</v>
      </c>
      <c r="F208" s="97">
        <f>'[19]FC1 2024'!$I$38+856100</f>
        <v>1036685</v>
      </c>
      <c r="G208" s="97"/>
      <c r="H208" s="97">
        <f t="shared" si="46"/>
        <v>7800945.4500000002</v>
      </c>
      <c r="I208" s="97"/>
      <c r="J208" s="86">
        <f t="shared" si="41"/>
        <v>6764260.4500000002</v>
      </c>
      <c r="K208" s="98">
        <f t="shared" si="47"/>
        <v>6764260.4500000002</v>
      </c>
      <c r="O208" s="85"/>
      <c r="P208" s="85"/>
      <c r="Q208" s="85"/>
      <c r="R208" s="85"/>
      <c r="W208" s="85"/>
      <c r="X208" s="86">
        <v>0</v>
      </c>
      <c r="Y208" s="86">
        <f t="shared" si="45"/>
        <v>6764260.4500000002</v>
      </c>
      <c r="AF208" s="86">
        <f t="shared" si="43"/>
        <v>6764260.4500000002</v>
      </c>
      <c r="AO208" s="86">
        <f t="shared" si="44"/>
        <v>1036685</v>
      </c>
    </row>
    <row r="209" spans="1:41" s="86" customFormat="1" x14ac:dyDescent="0.25">
      <c r="A209" s="183" t="s">
        <v>60</v>
      </c>
      <c r="B209" s="96"/>
      <c r="C209" s="110">
        <v>5029904000</v>
      </c>
      <c r="D209" s="157">
        <v>1232550</v>
      </c>
      <c r="E209" s="97">
        <v>0</v>
      </c>
      <c r="F209" s="97">
        <f>950000</f>
        <v>950000</v>
      </c>
      <c r="G209" s="97"/>
      <c r="H209" s="97">
        <f t="shared" si="46"/>
        <v>2182550</v>
      </c>
      <c r="I209" s="97"/>
      <c r="J209" s="86">
        <f t="shared" si="41"/>
        <v>1232550</v>
      </c>
      <c r="K209" s="98">
        <f t="shared" si="47"/>
        <v>1232550</v>
      </c>
      <c r="O209" s="85"/>
      <c r="P209" s="85"/>
      <c r="Q209" s="85"/>
      <c r="R209" s="85"/>
      <c r="W209" s="85"/>
      <c r="X209" s="86">
        <v>928</v>
      </c>
      <c r="Y209" s="86">
        <f t="shared" si="45"/>
        <v>1231622</v>
      </c>
      <c r="AF209" s="86">
        <f t="shared" si="43"/>
        <v>1232550</v>
      </c>
      <c r="AO209" s="86">
        <f t="shared" si="44"/>
        <v>950000</v>
      </c>
    </row>
    <row r="210" spans="1:41" s="86" customFormat="1" x14ac:dyDescent="0.25">
      <c r="A210" s="183" t="s">
        <v>407</v>
      </c>
      <c r="B210" s="96"/>
      <c r="C210" s="110">
        <v>5029905001</v>
      </c>
      <c r="D210" s="157">
        <v>2597469.12</v>
      </c>
      <c r="E210" s="97">
        <v>0</v>
      </c>
      <c r="F210" s="97">
        <v>30000</v>
      </c>
      <c r="G210" s="97"/>
      <c r="H210" s="97">
        <f t="shared" si="46"/>
        <v>2627469.12</v>
      </c>
      <c r="I210" s="97"/>
      <c r="J210" s="86">
        <f t="shared" si="41"/>
        <v>2597469.12</v>
      </c>
      <c r="K210" s="98">
        <f t="shared" si="47"/>
        <v>2597469.12</v>
      </c>
      <c r="O210" s="85"/>
      <c r="P210" s="85"/>
      <c r="Q210" s="85"/>
      <c r="R210" s="85"/>
      <c r="W210" s="85"/>
      <c r="X210" s="86">
        <v>0</v>
      </c>
      <c r="Y210" s="86">
        <f t="shared" si="45"/>
        <v>2597469.12</v>
      </c>
      <c r="AF210" s="86">
        <f t="shared" si="43"/>
        <v>2597469.12</v>
      </c>
      <c r="AO210" s="86">
        <f t="shared" si="44"/>
        <v>30000</v>
      </c>
    </row>
    <row r="211" spans="1:41" s="86" customFormat="1" ht="16.5" customHeight="1" x14ac:dyDescent="0.25">
      <c r="A211" s="183" t="s">
        <v>408</v>
      </c>
      <c r="B211" s="96"/>
      <c r="C211" s="110">
        <v>5029905003</v>
      </c>
      <c r="D211" s="157">
        <v>10130032.130000001</v>
      </c>
      <c r="E211" s="97">
        <v>0</v>
      </c>
      <c r="F211" s="97">
        <v>6000</v>
      </c>
      <c r="G211" s="97"/>
      <c r="H211" s="97">
        <f t="shared" si="46"/>
        <v>10136032.130000001</v>
      </c>
      <c r="I211" s="97"/>
      <c r="J211" s="86">
        <f t="shared" si="41"/>
        <v>10130032.130000001</v>
      </c>
      <c r="K211" s="98">
        <f t="shared" si="47"/>
        <v>10130032.130000001</v>
      </c>
      <c r="O211" s="85"/>
      <c r="P211" s="85"/>
      <c r="Q211" s="85"/>
      <c r="R211" s="85"/>
      <c r="W211" s="85"/>
      <c r="X211" s="86">
        <v>30324.5</v>
      </c>
      <c r="Y211" s="86">
        <f t="shared" si="45"/>
        <v>10099707.630000001</v>
      </c>
      <c r="AF211" s="86">
        <f t="shared" si="43"/>
        <v>10130032.130000001</v>
      </c>
      <c r="AO211" s="86">
        <f t="shared" si="44"/>
        <v>6000</v>
      </c>
    </row>
    <row r="212" spans="1:41" s="86" customFormat="1" x14ac:dyDescent="0.25">
      <c r="A212" s="183" t="s">
        <v>409</v>
      </c>
      <c r="B212" s="96"/>
      <c r="C212" s="110">
        <v>5029905004</v>
      </c>
      <c r="D212" s="157">
        <v>0</v>
      </c>
      <c r="E212" s="97">
        <v>0</v>
      </c>
      <c r="F212" s="97"/>
      <c r="G212" s="97"/>
      <c r="H212" s="97">
        <f t="shared" si="46"/>
        <v>0</v>
      </c>
      <c r="I212" s="97"/>
      <c r="J212" s="86">
        <f t="shared" si="41"/>
        <v>0</v>
      </c>
      <c r="K212" s="98">
        <f t="shared" si="47"/>
        <v>0</v>
      </c>
      <c r="O212" s="85"/>
      <c r="P212" s="85"/>
      <c r="Q212" s="85"/>
      <c r="R212" s="85"/>
      <c r="W212" s="85"/>
      <c r="X212" s="86">
        <v>1377688.09</v>
      </c>
      <c r="Y212" s="86">
        <f t="shared" si="45"/>
        <v>-1377688.09</v>
      </c>
      <c r="AF212" s="86">
        <f t="shared" si="43"/>
        <v>0</v>
      </c>
      <c r="AO212" s="86">
        <f t="shared" si="44"/>
        <v>0</v>
      </c>
    </row>
    <row r="213" spans="1:41" s="86" customFormat="1" x14ac:dyDescent="0.25">
      <c r="A213" s="183" t="s">
        <v>410</v>
      </c>
      <c r="B213" s="96"/>
      <c r="C213" s="110">
        <v>5029905005</v>
      </c>
      <c r="D213" s="157">
        <v>0</v>
      </c>
      <c r="E213" s="97">
        <v>0</v>
      </c>
      <c r="F213" s="97"/>
      <c r="G213" s="97"/>
      <c r="H213" s="97">
        <f t="shared" si="46"/>
        <v>0</v>
      </c>
      <c r="I213" s="97"/>
      <c r="J213" s="86">
        <f t="shared" si="41"/>
        <v>0</v>
      </c>
      <c r="K213" s="98">
        <f t="shared" si="47"/>
        <v>0</v>
      </c>
      <c r="O213" s="85"/>
      <c r="P213" s="85"/>
      <c r="Q213" s="85"/>
      <c r="R213" s="85"/>
      <c r="W213" s="85"/>
      <c r="X213" s="86">
        <v>762969.21</v>
      </c>
      <c r="Y213" s="86">
        <f t="shared" si="45"/>
        <v>-762969.21</v>
      </c>
      <c r="AF213" s="86">
        <f t="shared" si="43"/>
        <v>0</v>
      </c>
      <c r="AO213" s="86">
        <f t="shared" si="44"/>
        <v>0</v>
      </c>
    </row>
    <row r="214" spans="1:41" s="86" customFormat="1" x14ac:dyDescent="0.25">
      <c r="A214" s="183" t="s">
        <v>153</v>
      </c>
      <c r="B214" s="96"/>
      <c r="C214" s="110">
        <v>5029905006</v>
      </c>
      <c r="D214" s="157">
        <v>0</v>
      </c>
      <c r="E214" s="97">
        <v>0</v>
      </c>
      <c r="F214" s="97"/>
      <c r="G214" s="97"/>
      <c r="H214" s="97">
        <f t="shared" si="46"/>
        <v>0</v>
      </c>
      <c r="I214" s="97"/>
      <c r="J214" s="86">
        <f t="shared" si="41"/>
        <v>0</v>
      </c>
      <c r="K214" s="98">
        <f t="shared" si="47"/>
        <v>0</v>
      </c>
      <c r="O214" s="85"/>
      <c r="P214" s="85"/>
      <c r="Q214" s="85"/>
      <c r="R214" s="85"/>
      <c r="T214" s="86">
        <v>93865.989999999991</v>
      </c>
      <c r="U214" s="86">
        <f>D214-T214</f>
        <v>-93865.989999999991</v>
      </c>
      <c r="W214" s="85"/>
      <c r="X214" s="86">
        <v>4020898.15</v>
      </c>
      <c r="Y214" s="86">
        <f t="shared" si="45"/>
        <v>-4020898.15</v>
      </c>
      <c r="AF214" s="86">
        <f t="shared" si="43"/>
        <v>0</v>
      </c>
      <c r="AO214" s="86">
        <f t="shared" si="44"/>
        <v>0</v>
      </c>
    </row>
    <row r="215" spans="1:41" s="86" customFormat="1" x14ac:dyDescent="0.25">
      <c r="A215" s="183" t="s">
        <v>416</v>
      </c>
      <c r="B215" s="96"/>
      <c r="C215" s="110">
        <v>5029905008</v>
      </c>
      <c r="D215" s="157">
        <v>0</v>
      </c>
      <c r="E215" s="97">
        <v>0</v>
      </c>
      <c r="F215" s="97"/>
      <c r="G215" s="97"/>
      <c r="H215" s="97">
        <f t="shared" si="46"/>
        <v>0</v>
      </c>
      <c r="I215" s="97"/>
      <c r="J215" s="86">
        <f t="shared" si="41"/>
        <v>0</v>
      </c>
      <c r="K215" s="98">
        <f t="shared" si="47"/>
        <v>0</v>
      </c>
      <c r="O215" s="85"/>
      <c r="P215" s="85"/>
      <c r="Q215" s="85"/>
      <c r="R215" s="85"/>
      <c r="W215" s="85"/>
      <c r="X215" s="86">
        <v>168108640.87</v>
      </c>
      <c r="Y215" s="86">
        <f t="shared" si="45"/>
        <v>-168108640.87</v>
      </c>
      <c r="AF215" s="86">
        <f t="shared" si="43"/>
        <v>0</v>
      </c>
      <c r="AO215" s="86">
        <f t="shared" si="44"/>
        <v>0</v>
      </c>
    </row>
    <row r="216" spans="1:41" s="86" customFormat="1" x14ac:dyDescent="0.25">
      <c r="A216" s="183" t="s">
        <v>61</v>
      </c>
      <c r="B216" s="96"/>
      <c r="C216" s="110">
        <v>5029907000</v>
      </c>
      <c r="D216" s="157">
        <v>211085</v>
      </c>
      <c r="E216" s="97">
        <v>0</v>
      </c>
      <c r="F216" s="97"/>
      <c r="G216" s="97"/>
      <c r="H216" s="97">
        <f t="shared" si="46"/>
        <v>211085</v>
      </c>
      <c r="I216" s="97"/>
      <c r="J216" s="86">
        <f t="shared" si="41"/>
        <v>211085</v>
      </c>
      <c r="K216" s="98">
        <f t="shared" si="47"/>
        <v>211085</v>
      </c>
      <c r="O216" s="85"/>
      <c r="P216" s="85"/>
      <c r="Q216" s="85"/>
      <c r="R216" s="85"/>
      <c r="W216" s="85"/>
      <c r="X216" s="86">
        <v>0</v>
      </c>
      <c r="Y216" s="86">
        <f t="shared" si="45"/>
        <v>211085</v>
      </c>
      <c r="AF216" s="86">
        <f t="shared" si="43"/>
        <v>211085</v>
      </c>
      <c r="AO216" s="86">
        <f t="shared" si="44"/>
        <v>0</v>
      </c>
    </row>
    <row r="217" spans="1:41" s="86" customFormat="1" ht="16.5" customHeight="1" x14ac:dyDescent="0.25">
      <c r="A217" s="183" t="s">
        <v>458</v>
      </c>
      <c r="B217" s="96"/>
      <c r="C217" s="110">
        <v>5029907001</v>
      </c>
      <c r="D217" s="157">
        <v>0</v>
      </c>
      <c r="E217" s="97">
        <v>0</v>
      </c>
      <c r="F217" s="97"/>
      <c r="G217" s="97"/>
      <c r="H217" s="97">
        <f t="shared" si="46"/>
        <v>0</v>
      </c>
      <c r="I217" s="97"/>
      <c r="J217" s="86">
        <f t="shared" si="41"/>
        <v>0</v>
      </c>
      <c r="K217" s="98">
        <f t="shared" si="47"/>
        <v>0</v>
      </c>
      <c r="O217" s="85"/>
      <c r="P217" s="85"/>
      <c r="Q217" s="85"/>
      <c r="R217" s="85"/>
      <c r="W217" s="85"/>
      <c r="X217" s="86">
        <v>1517258.51</v>
      </c>
      <c r="Y217" s="86">
        <f t="shared" si="45"/>
        <v>-1517258.51</v>
      </c>
      <c r="AF217" s="86">
        <f t="shared" si="43"/>
        <v>0</v>
      </c>
      <c r="AO217" s="86">
        <f t="shared" si="44"/>
        <v>0</v>
      </c>
    </row>
    <row r="218" spans="1:41" s="86" customFormat="1" x14ac:dyDescent="0.25">
      <c r="A218" s="183" t="s">
        <v>154</v>
      </c>
      <c r="B218" s="96"/>
      <c r="C218" s="110">
        <v>5021101000</v>
      </c>
      <c r="D218" s="157">
        <v>0</v>
      </c>
      <c r="E218" s="97">
        <v>0</v>
      </c>
      <c r="F218" s="97"/>
      <c r="G218" s="97"/>
      <c r="H218" s="97">
        <f t="shared" si="46"/>
        <v>0</v>
      </c>
      <c r="I218" s="97"/>
      <c r="J218" s="86">
        <f t="shared" si="41"/>
        <v>0</v>
      </c>
      <c r="K218" s="98">
        <f t="shared" si="47"/>
        <v>0</v>
      </c>
      <c r="O218" s="85"/>
      <c r="P218" s="85"/>
      <c r="Q218" s="85"/>
      <c r="R218" s="85"/>
      <c r="W218" s="85"/>
      <c r="X218" s="86">
        <v>9580</v>
      </c>
      <c r="Y218" s="86">
        <f t="shared" si="45"/>
        <v>-9580</v>
      </c>
      <c r="AF218" s="86">
        <f t="shared" si="43"/>
        <v>0</v>
      </c>
      <c r="AO218" s="86">
        <f t="shared" si="44"/>
        <v>0</v>
      </c>
    </row>
    <row r="219" spans="1:41" s="86" customFormat="1" ht="16.5" customHeight="1" x14ac:dyDescent="0.25">
      <c r="A219" s="183" t="s">
        <v>62</v>
      </c>
      <c r="B219" s="96"/>
      <c r="C219" s="110">
        <v>5021102000</v>
      </c>
      <c r="D219" s="157">
        <v>16020</v>
      </c>
      <c r="E219" s="97">
        <v>0</v>
      </c>
      <c r="F219" s="97"/>
      <c r="G219" s="97"/>
      <c r="H219" s="97">
        <f t="shared" si="46"/>
        <v>16020</v>
      </c>
      <c r="I219" s="97"/>
      <c r="J219" s="86">
        <f t="shared" si="41"/>
        <v>16020</v>
      </c>
      <c r="K219" s="98">
        <f t="shared" si="47"/>
        <v>16020</v>
      </c>
      <c r="O219" s="85"/>
      <c r="P219" s="85"/>
      <c r="Q219" s="85"/>
      <c r="R219" s="85"/>
      <c r="W219" s="85"/>
      <c r="X219" s="86">
        <v>271316.75</v>
      </c>
      <c r="Y219" s="86">
        <f t="shared" si="45"/>
        <v>-255296.75</v>
      </c>
      <c r="AF219" s="86">
        <f t="shared" si="43"/>
        <v>16020</v>
      </c>
      <c r="AO219" s="86">
        <f t="shared" si="44"/>
        <v>0</v>
      </c>
    </row>
    <row r="220" spans="1:41" s="86" customFormat="1" x14ac:dyDescent="0.25">
      <c r="A220" s="183" t="s">
        <v>63</v>
      </c>
      <c r="B220" s="96"/>
      <c r="C220" s="110">
        <v>5021103002</v>
      </c>
      <c r="D220" s="157">
        <v>200000</v>
      </c>
      <c r="E220" s="97">
        <v>0</v>
      </c>
      <c r="F220" s="97"/>
      <c r="G220" s="97"/>
      <c r="H220" s="97">
        <f t="shared" si="46"/>
        <v>200000</v>
      </c>
      <c r="I220" s="97"/>
      <c r="J220" s="86">
        <f t="shared" si="41"/>
        <v>200000</v>
      </c>
      <c r="K220" s="98">
        <f t="shared" si="47"/>
        <v>200000</v>
      </c>
      <c r="O220" s="85"/>
      <c r="P220" s="85"/>
      <c r="Q220" s="85"/>
      <c r="R220" s="85"/>
      <c r="W220" s="85"/>
      <c r="X220" s="86">
        <v>0</v>
      </c>
      <c r="Y220" s="86">
        <f t="shared" si="45"/>
        <v>200000</v>
      </c>
      <c r="AF220" s="86">
        <f t="shared" si="43"/>
        <v>200000</v>
      </c>
      <c r="AO220" s="86">
        <f t="shared" si="44"/>
        <v>0</v>
      </c>
    </row>
    <row r="221" spans="1:41" s="86" customFormat="1" x14ac:dyDescent="0.25">
      <c r="A221" s="183" t="s">
        <v>64</v>
      </c>
      <c r="B221" s="96"/>
      <c r="C221" s="110">
        <v>5021202000</v>
      </c>
      <c r="D221" s="157">
        <v>1454063.36</v>
      </c>
      <c r="E221" s="97">
        <v>0</v>
      </c>
      <c r="F221" s="97">
        <f>223988.21</f>
        <v>223988.21</v>
      </c>
      <c r="G221" s="97"/>
      <c r="H221" s="97">
        <f t="shared" si="46"/>
        <v>1678051.57</v>
      </c>
      <c r="I221" s="97"/>
      <c r="J221" s="86">
        <f t="shared" si="41"/>
        <v>1454063.36</v>
      </c>
      <c r="K221" s="98"/>
      <c r="O221" s="85"/>
      <c r="P221" s="85"/>
      <c r="Q221" s="85"/>
      <c r="R221" s="85"/>
      <c r="W221" s="85"/>
      <c r="X221" s="86">
        <v>61136</v>
      </c>
      <c r="Y221" s="86">
        <f t="shared" si="45"/>
        <v>1392927.36</v>
      </c>
      <c r="AF221" s="86">
        <f t="shared" si="43"/>
        <v>1454063.36</v>
      </c>
      <c r="AO221" s="86">
        <f t="shared" si="44"/>
        <v>223988.21</v>
      </c>
    </row>
    <row r="222" spans="1:41" s="86" customFormat="1" x14ac:dyDescent="0.25">
      <c r="A222" s="183" t="s">
        <v>65</v>
      </c>
      <c r="B222" s="96"/>
      <c r="C222" s="110">
        <v>5021203000</v>
      </c>
      <c r="D222" s="157">
        <v>9362020.6500000004</v>
      </c>
      <c r="E222" s="97">
        <v>0</v>
      </c>
      <c r="F222" s="97">
        <f>'[19]FC1 2024'!$I$26+599888</f>
        <v>2198453.04</v>
      </c>
      <c r="G222" s="97"/>
      <c r="H222" s="97">
        <f t="shared" si="46"/>
        <v>11560473.690000001</v>
      </c>
      <c r="I222" s="97"/>
      <c r="J222" s="86">
        <f t="shared" si="41"/>
        <v>9362020.6500000004</v>
      </c>
      <c r="K222" s="98">
        <f>SUM(D222:E222)</f>
        <v>9362020.6500000004</v>
      </c>
      <c r="O222" s="85"/>
      <c r="P222" s="85"/>
      <c r="Q222" s="85"/>
      <c r="R222" s="85"/>
      <c r="W222" s="85"/>
      <c r="X222" s="86">
        <v>97065.25</v>
      </c>
      <c r="Y222" s="86">
        <f t="shared" si="45"/>
        <v>9264955.4000000004</v>
      </c>
      <c r="AF222" s="86">
        <f t="shared" si="43"/>
        <v>9362020.6500000004</v>
      </c>
      <c r="AO222" s="86">
        <f t="shared" si="44"/>
        <v>2198453.04</v>
      </c>
    </row>
    <row r="223" spans="1:41" s="86" customFormat="1" x14ac:dyDescent="0.25">
      <c r="A223" s="183" t="s">
        <v>66</v>
      </c>
      <c r="B223" s="96"/>
      <c r="C223" s="110">
        <v>5021199000</v>
      </c>
      <c r="D223" s="157">
        <v>335873490.23000002</v>
      </c>
      <c r="E223" s="97">
        <v>0</v>
      </c>
      <c r="F223" s="97">
        <f>'[19]FC1 2024'!$I$53+'[19]FC1 2024'!$I$46-56304.78+24759.02-89409.28-41648.33+17292.11+14028.08+14313.89</f>
        <v>120583.18</v>
      </c>
      <c r="G223" s="97"/>
      <c r="H223" s="97">
        <f t="shared" si="46"/>
        <v>335994073.41000003</v>
      </c>
      <c r="I223" s="97"/>
      <c r="J223" s="86">
        <f t="shared" si="41"/>
        <v>335873490.23000002</v>
      </c>
      <c r="K223" s="98"/>
      <c r="O223" s="85"/>
      <c r="P223" s="85"/>
      <c r="Q223" s="85"/>
      <c r="R223" s="85"/>
      <c r="W223" s="85"/>
      <c r="AO223" s="86">
        <f t="shared" si="44"/>
        <v>120583.18</v>
      </c>
    </row>
    <row r="224" spans="1:41" s="86" customFormat="1" x14ac:dyDescent="0.25">
      <c r="A224" s="183" t="s">
        <v>208</v>
      </c>
      <c r="B224" s="96"/>
      <c r="C224" s="110">
        <v>5021299000</v>
      </c>
      <c r="D224" s="157">
        <v>0</v>
      </c>
      <c r="E224" s="97">
        <v>0</v>
      </c>
      <c r="F224" s="97"/>
      <c r="G224" s="97"/>
      <c r="H224" s="97">
        <f t="shared" si="46"/>
        <v>0</v>
      </c>
      <c r="I224" s="97"/>
      <c r="J224" s="86">
        <f t="shared" si="41"/>
        <v>0</v>
      </c>
      <c r="K224" s="98">
        <f>SUM(D224:E224)</f>
        <v>0</v>
      </c>
      <c r="O224" s="85"/>
      <c r="P224" s="85"/>
      <c r="Q224" s="85"/>
      <c r="R224" s="85"/>
      <c r="W224" s="85"/>
      <c r="X224" s="86">
        <v>106763</v>
      </c>
      <c r="Y224" s="86">
        <f>D224-X224</f>
        <v>-106763</v>
      </c>
      <c r="AF224" s="86">
        <f>D224+E224</f>
        <v>0</v>
      </c>
      <c r="AO224" s="86">
        <f t="shared" si="44"/>
        <v>0</v>
      </c>
    </row>
    <row r="225" spans="1:41" s="86" customFormat="1" ht="31.5" x14ac:dyDescent="0.25">
      <c r="A225" s="183" t="s">
        <v>155</v>
      </c>
      <c r="B225" s="96"/>
      <c r="C225" s="110">
        <v>5021304001</v>
      </c>
      <c r="D225" s="157">
        <v>4107385.78</v>
      </c>
      <c r="E225" s="97">
        <v>0</v>
      </c>
      <c r="F225" s="97">
        <f>94200</f>
        <v>94200</v>
      </c>
      <c r="G225" s="97"/>
      <c r="H225" s="97">
        <f t="shared" si="46"/>
        <v>4201585.7799999993</v>
      </c>
      <c r="I225" s="97"/>
      <c r="J225" s="86">
        <f t="shared" si="41"/>
        <v>4107385.78</v>
      </c>
      <c r="K225" s="98"/>
      <c r="O225" s="85"/>
      <c r="P225" s="85"/>
      <c r="Q225" s="85"/>
      <c r="R225" s="85"/>
      <c r="W225" s="85"/>
      <c r="X225" s="86">
        <v>0</v>
      </c>
      <c r="Y225" s="86">
        <f>D225-X225</f>
        <v>4107385.78</v>
      </c>
      <c r="AC225" s="86">
        <f>SUM(D134:D261)</f>
        <v>6186315403.1500015</v>
      </c>
      <c r="AF225" s="86">
        <f>D225+E225</f>
        <v>4107385.78</v>
      </c>
      <c r="AO225" s="86">
        <f t="shared" si="44"/>
        <v>94200</v>
      </c>
    </row>
    <row r="226" spans="1:41" s="86" customFormat="1" ht="31.5" x14ac:dyDescent="0.25">
      <c r="A226" s="183" t="s">
        <v>156</v>
      </c>
      <c r="B226" s="96"/>
      <c r="C226" s="110">
        <v>5021304006</v>
      </c>
      <c r="D226" s="157">
        <v>0</v>
      </c>
      <c r="E226" s="97">
        <v>0</v>
      </c>
      <c r="F226" s="97"/>
      <c r="G226" s="97"/>
      <c r="H226" s="97">
        <f t="shared" si="46"/>
        <v>0</v>
      </c>
      <c r="I226" s="97"/>
      <c r="J226" s="86">
        <f t="shared" si="41"/>
        <v>0</v>
      </c>
      <c r="K226" s="98">
        <f>SUM(D226:E226)</f>
        <v>0</v>
      </c>
      <c r="O226" s="85"/>
      <c r="P226" s="85"/>
      <c r="Q226" s="85"/>
      <c r="R226" s="85"/>
      <c r="W226" s="85"/>
      <c r="X226" s="86">
        <v>355800</v>
      </c>
      <c r="Y226" s="86">
        <f>D226-X226</f>
        <v>-355800</v>
      </c>
      <c r="AC226" s="86">
        <f>'[21]FC1DIS-DEC'!H209+'[21]FC1DIS-DEC'!H194</f>
        <v>2232222194.2381439</v>
      </c>
      <c r="AF226" s="86">
        <f>D226+E226</f>
        <v>0</v>
      </c>
      <c r="AO226" s="86">
        <f t="shared" si="44"/>
        <v>0</v>
      </c>
    </row>
    <row r="227" spans="1:41" s="86" customFormat="1" ht="31.5" x14ac:dyDescent="0.25">
      <c r="A227" s="183" t="s">
        <v>157</v>
      </c>
      <c r="B227" s="96"/>
      <c r="C227" s="110">
        <v>5021304099</v>
      </c>
      <c r="D227" s="157">
        <v>0</v>
      </c>
      <c r="E227" s="97">
        <v>0</v>
      </c>
      <c r="F227" s="97"/>
      <c r="G227" s="97"/>
      <c r="H227" s="97">
        <f t="shared" si="46"/>
        <v>0</v>
      </c>
      <c r="I227" s="97"/>
      <c r="J227" s="86">
        <f t="shared" si="41"/>
        <v>0</v>
      </c>
      <c r="K227" s="98">
        <f>SUM(D227:E227)</f>
        <v>0</v>
      </c>
      <c r="O227" s="85"/>
      <c r="P227" s="85"/>
      <c r="Q227" s="85"/>
      <c r="R227" s="85"/>
      <c r="W227" s="85"/>
      <c r="X227" s="86">
        <v>2179310.2999999998</v>
      </c>
      <c r="Y227" s="86">
        <f>D227-X227</f>
        <v>-2179310.2999999998</v>
      </c>
      <c r="AF227" s="86">
        <f>D227+E227</f>
        <v>0</v>
      </c>
      <c r="AO227" s="86">
        <f t="shared" si="44"/>
        <v>0</v>
      </c>
    </row>
    <row r="228" spans="1:41" s="86" customFormat="1" x14ac:dyDescent="0.25">
      <c r="A228" s="183" t="s">
        <v>532</v>
      </c>
      <c r="B228" s="96"/>
      <c r="C228" s="110">
        <v>5021305001</v>
      </c>
      <c r="D228" s="157">
        <v>256150</v>
      </c>
      <c r="E228" s="97">
        <v>0</v>
      </c>
      <c r="F228" s="97"/>
      <c r="G228" s="97"/>
      <c r="H228" s="97">
        <f t="shared" si="46"/>
        <v>256150</v>
      </c>
      <c r="I228" s="97"/>
      <c r="K228" s="98"/>
      <c r="O228" s="85"/>
      <c r="P228" s="85"/>
      <c r="Q228" s="85"/>
      <c r="R228" s="85"/>
      <c r="W228" s="85"/>
    </row>
    <row r="229" spans="1:41" s="86" customFormat="1" ht="16.5" customHeight="1" x14ac:dyDescent="0.25">
      <c r="A229" s="183" t="s">
        <v>158</v>
      </c>
      <c r="B229" s="96"/>
      <c r="C229" s="110">
        <v>5021309000</v>
      </c>
      <c r="D229" s="157">
        <v>0</v>
      </c>
      <c r="E229" s="97">
        <v>0</v>
      </c>
      <c r="F229" s="97"/>
      <c r="G229" s="97"/>
      <c r="H229" s="97">
        <f t="shared" si="46"/>
        <v>0</v>
      </c>
      <c r="I229" s="97"/>
      <c r="J229" s="86">
        <f t="shared" ref="J229:J250" si="48">D229+E229</f>
        <v>0</v>
      </c>
      <c r="K229" s="98">
        <f t="shared" ref="K229:K236" si="49">SUM(D229:E229)</f>
        <v>0</v>
      </c>
      <c r="O229" s="85"/>
      <c r="P229" s="85"/>
      <c r="Q229" s="85"/>
      <c r="R229" s="85"/>
      <c r="W229" s="85"/>
      <c r="X229" s="86">
        <v>9200</v>
      </c>
      <c r="Y229" s="86">
        <f t="shared" ref="Y229:Y236" si="50">D229-X229</f>
        <v>-9200</v>
      </c>
      <c r="AF229" s="86">
        <f t="shared" ref="AF229:AF236" si="51">D229+E229</f>
        <v>0</v>
      </c>
      <c r="AO229" s="86">
        <f t="shared" ref="AO229:AO250" si="52">F229+G229</f>
        <v>0</v>
      </c>
    </row>
    <row r="230" spans="1:41" s="86" customFormat="1" ht="16.5" customHeight="1" x14ac:dyDescent="0.25">
      <c r="A230" s="183" t="s">
        <v>67</v>
      </c>
      <c r="B230" s="96"/>
      <c r="C230" s="110">
        <v>5021307000</v>
      </c>
      <c r="D230" s="157">
        <v>8486</v>
      </c>
      <c r="E230" s="97">
        <v>0</v>
      </c>
      <c r="F230" s="97"/>
      <c r="G230" s="97"/>
      <c r="H230" s="97">
        <f t="shared" si="46"/>
        <v>8486</v>
      </c>
      <c r="I230" s="97"/>
      <c r="J230" s="86">
        <f t="shared" si="48"/>
        <v>8486</v>
      </c>
      <c r="K230" s="98">
        <f t="shared" si="49"/>
        <v>8486</v>
      </c>
      <c r="O230" s="85"/>
      <c r="P230" s="85"/>
      <c r="Q230" s="85"/>
      <c r="R230" s="85"/>
      <c r="W230" s="85"/>
      <c r="X230" s="86">
        <v>1184.45</v>
      </c>
      <c r="Y230" s="86">
        <f t="shared" si="50"/>
        <v>7301.55</v>
      </c>
      <c r="AF230" s="86">
        <f t="shared" si="51"/>
        <v>8486</v>
      </c>
      <c r="AO230" s="86">
        <f t="shared" si="52"/>
        <v>0</v>
      </c>
    </row>
    <row r="231" spans="1:41" s="86" customFormat="1" ht="16.5" customHeight="1" x14ac:dyDescent="0.25">
      <c r="A231" s="183" t="s">
        <v>159</v>
      </c>
      <c r="B231" s="96"/>
      <c r="C231" s="110">
        <v>5021305002</v>
      </c>
      <c r="D231" s="157">
        <v>12613.75</v>
      </c>
      <c r="E231" s="97">
        <v>0</v>
      </c>
      <c r="F231" s="97"/>
      <c r="G231" s="97"/>
      <c r="H231" s="97">
        <f t="shared" si="46"/>
        <v>12613.75</v>
      </c>
      <c r="I231" s="97"/>
      <c r="J231" s="86">
        <f t="shared" si="48"/>
        <v>12613.75</v>
      </c>
      <c r="K231" s="98">
        <f t="shared" si="49"/>
        <v>12613.75</v>
      </c>
      <c r="O231" s="85"/>
      <c r="P231" s="85"/>
      <c r="Q231" s="85"/>
      <c r="R231" s="85"/>
      <c r="W231" s="85"/>
      <c r="X231" s="86">
        <v>0</v>
      </c>
      <c r="Y231" s="86">
        <f t="shared" si="50"/>
        <v>12613.75</v>
      </c>
      <c r="AF231" s="86">
        <f t="shared" si="51"/>
        <v>12613.75</v>
      </c>
      <c r="AO231" s="86">
        <f t="shared" si="52"/>
        <v>0</v>
      </c>
    </row>
    <row r="232" spans="1:41" s="86" customFormat="1" ht="16.5" customHeight="1" x14ac:dyDescent="0.25">
      <c r="A232" s="183" t="s">
        <v>160</v>
      </c>
      <c r="B232" s="96"/>
      <c r="C232" s="110">
        <v>5021305003</v>
      </c>
      <c r="D232" s="157">
        <v>1619037.89</v>
      </c>
      <c r="E232" s="97">
        <v>0</v>
      </c>
      <c r="F232" s="97">
        <f>'[19]FC1 2024'!$I$48+9500</f>
        <v>194646</v>
      </c>
      <c r="G232" s="97"/>
      <c r="H232" s="97">
        <f t="shared" si="46"/>
        <v>1813683.89</v>
      </c>
      <c r="I232" s="97"/>
      <c r="J232" s="86">
        <f t="shared" si="48"/>
        <v>1619037.89</v>
      </c>
      <c r="K232" s="98">
        <f t="shared" si="49"/>
        <v>1619037.89</v>
      </c>
      <c r="O232" s="85"/>
      <c r="P232" s="85"/>
      <c r="Q232" s="85"/>
      <c r="R232" s="85"/>
      <c r="W232" s="85"/>
      <c r="X232" s="86">
        <v>0</v>
      </c>
      <c r="Y232" s="86">
        <f t="shared" si="50"/>
        <v>1619037.89</v>
      </c>
      <c r="AF232" s="86">
        <f t="shared" si="51"/>
        <v>1619037.89</v>
      </c>
      <c r="AO232" s="86">
        <f t="shared" si="52"/>
        <v>194646</v>
      </c>
    </row>
    <row r="233" spans="1:41" s="86" customFormat="1" ht="31.5" x14ac:dyDescent="0.25">
      <c r="A233" s="183" t="s">
        <v>161</v>
      </c>
      <c r="B233" s="96"/>
      <c r="C233" s="110">
        <v>5021305007</v>
      </c>
      <c r="D233" s="157">
        <v>600</v>
      </c>
      <c r="E233" s="97">
        <v>0</v>
      </c>
      <c r="F233" s="97"/>
      <c r="G233" s="97"/>
      <c r="H233" s="97">
        <f t="shared" si="46"/>
        <v>600</v>
      </c>
      <c r="I233" s="97"/>
      <c r="J233" s="86">
        <f t="shared" si="48"/>
        <v>600</v>
      </c>
      <c r="K233" s="98">
        <f t="shared" si="49"/>
        <v>600</v>
      </c>
      <c r="O233" s="85"/>
      <c r="P233" s="85"/>
      <c r="Q233" s="85"/>
      <c r="R233" s="85"/>
      <c r="W233" s="85"/>
      <c r="X233" s="86">
        <v>21653347.75</v>
      </c>
      <c r="Y233" s="86">
        <f t="shared" si="50"/>
        <v>-21652747.75</v>
      </c>
      <c r="AF233" s="86">
        <f t="shared" si="51"/>
        <v>600</v>
      </c>
      <c r="AO233" s="86">
        <f t="shared" si="52"/>
        <v>0</v>
      </c>
    </row>
    <row r="234" spans="1:41" s="86" customFormat="1" x14ac:dyDescent="0.25">
      <c r="A234" s="183" t="s">
        <v>491</v>
      </c>
      <c r="B234" s="96"/>
      <c r="C234" s="110">
        <v>5021305099</v>
      </c>
      <c r="D234" s="157">
        <v>52837.05</v>
      </c>
      <c r="E234" s="97">
        <v>0</v>
      </c>
      <c r="F234" s="97"/>
      <c r="G234" s="97"/>
      <c r="H234" s="97">
        <f t="shared" ref="H234:H265" si="53">D234+F234-G234</f>
        <v>52837.05</v>
      </c>
      <c r="I234" s="97"/>
      <c r="J234" s="86">
        <f t="shared" si="48"/>
        <v>52837.05</v>
      </c>
      <c r="K234" s="98">
        <f t="shared" si="49"/>
        <v>52837.05</v>
      </c>
      <c r="O234" s="85"/>
      <c r="P234" s="85"/>
      <c r="Q234" s="85"/>
      <c r="R234" s="85"/>
      <c r="W234" s="85"/>
      <c r="X234" s="86">
        <v>4366726051.9300003</v>
      </c>
      <c r="Y234" s="86">
        <f t="shared" si="50"/>
        <v>-4366673214.8800001</v>
      </c>
      <c r="AF234" s="86">
        <f t="shared" si="51"/>
        <v>52837.05</v>
      </c>
      <c r="AO234" s="86">
        <f t="shared" si="52"/>
        <v>0</v>
      </c>
    </row>
    <row r="235" spans="1:41" s="86" customFormat="1" ht="31.5" x14ac:dyDescent="0.25">
      <c r="A235" s="183" t="s">
        <v>163</v>
      </c>
      <c r="B235" s="96"/>
      <c r="C235" s="110">
        <v>5021306001</v>
      </c>
      <c r="D235" s="157">
        <v>2931760.42</v>
      </c>
      <c r="E235" s="97">
        <v>0</v>
      </c>
      <c r="F235" s="97"/>
      <c r="G235" s="97"/>
      <c r="H235" s="97">
        <f t="shared" si="53"/>
        <v>2931760.42</v>
      </c>
      <c r="I235" s="97"/>
      <c r="J235" s="86">
        <f t="shared" si="48"/>
        <v>2931760.42</v>
      </c>
      <c r="K235" s="98">
        <f t="shared" si="49"/>
        <v>2931760.42</v>
      </c>
      <c r="O235" s="85"/>
      <c r="P235" s="85"/>
      <c r="Q235" s="85"/>
      <c r="R235" s="85"/>
      <c r="W235" s="85"/>
      <c r="X235" s="86">
        <v>1592970.85</v>
      </c>
      <c r="Y235" s="86">
        <f t="shared" si="50"/>
        <v>1338789.5699999998</v>
      </c>
      <c r="AF235" s="86">
        <f t="shared" si="51"/>
        <v>2931760.42</v>
      </c>
      <c r="AO235" s="86">
        <f t="shared" si="52"/>
        <v>0</v>
      </c>
    </row>
    <row r="236" spans="1:41" s="86" customFormat="1" x14ac:dyDescent="0.25">
      <c r="A236" s="183" t="s">
        <v>68</v>
      </c>
      <c r="B236" s="96"/>
      <c r="C236" s="110">
        <v>5021399099</v>
      </c>
      <c r="D236" s="157">
        <v>0</v>
      </c>
      <c r="E236" s="97">
        <v>0</v>
      </c>
      <c r="F236" s="97"/>
      <c r="G236" s="97"/>
      <c r="H236" s="97">
        <f t="shared" si="53"/>
        <v>0</v>
      </c>
      <c r="I236" s="97"/>
      <c r="J236" s="86">
        <f t="shared" si="48"/>
        <v>0</v>
      </c>
      <c r="K236" s="98">
        <f t="shared" si="49"/>
        <v>0</v>
      </c>
      <c r="O236" s="85"/>
      <c r="P236" s="85"/>
      <c r="Q236" s="85"/>
      <c r="R236" s="85"/>
      <c r="W236" s="85"/>
      <c r="X236" s="86">
        <v>101700</v>
      </c>
      <c r="Y236" s="86">
        <f t="shared" si="50"/>
        <v>-101700</v>
      </c>
      <c r="AF236" s="86">
        <f t="shared" si="51"/>
        <v>0</v>
      </c>
      <c r="AO236" s="86">
        <f t="shared" si="52"/>
        <v>0</v>
      </c>
    </row>
    <row r="237" spans="1:41" s="86" customFormat="1" x14ac:dyDescent="0.25">
      <c r="A237" s="183" t="s">
        <v>69</v>
      </c>
      <c r="B237" s="96"/>
      <c r="C237" s="110">
        <v>5029908000</v>
      </c>
      <c r="D237" s="157">
        <v>0</v>
      </c>
      <c r="E237" s="97">
        <v>0</v>
      </c>
      <c r="F237" s="97"/>
      <c r="G237" s="97"/>
      <c r="H237" s="97">
        <f t="shared" si="53"/>
        <v>0</v>
      </c>
      <c r="I237" s="97"/>
      <c r="J237" s="86">
        <f t="shared" si="48"/>
        <v>0</v>
      </c>
      <c r="K237" s="98"/>
      <c r="O237" s="85"/>
      <c r="P237" s="85"/>
      <c r="Q237" s="85"/>
      <c r="R237" s="85"/>
      <c r="W237" s="85"/>
      <c r="AO237" s="86">
        <f t="shared" si="52"/>
        <v>0</v>
      </c>
    </row>
    <row r="238" spans="1:41" s="86" customFormat="1" x14ac:dyDescent="0.25">
      <c r="A238" s="183" t="s">
        <v>164</v>
      </c>
      <c r="B238" s="96"/>
      <c r="C238" s="110">
        <v>5021402000</v>
      </c>
      <c r="D238" s="157">
        <v>0</v>
      </c>
      <c r="E238" s="97">
        <v>0</v>
      </c>
      <c r="F238" s="97"/>
      <c r="G238" s="97"/>
      <c r="H238" s="97">
        <f t="shared" si="53"/>
        <v>0</v>
      </c>
      <c r="I238" s="97"/>
      <c r="J238" s="86">
        <f t="shared" si="48"/>
        <v>0</v>
      </c>
      <c r="K238" s="98">
        <f>SUM(D238:E238)</f>
        <v>0</v>
      </c>
      <c r="O238" s="85"/>
      <c r="P238" s="85"/>
      <c r="Q238" s="85"/>
      <c r="R238" s="85"/>
      <c r="W238" s="85"/>
      <c r="X238" s="86">
        <v>1282012.5</v>
      </c>
      <c r="Y238" s="86">
        <f>D238-X238</f>
        <v>-1282012.5</v>
      </c>
      <c r="AF238" s="86">
        <f t="shared" ref="AF238:AF250" si="54">D238+E238</f>
        <v>0</v>
      </c>
      <c r="AO238" s="86">
        <f t="shared" si="52"/>
        <v>0</v>
      </c>
    </row>
    <row r="239" spans="1:41" s="86" customFormat="1" x14ac:dyDescent="0.25">
      <c r="A239" s="183" t="s">
        <v>165</v>
      </c>
      <c r="B239" s="96"/>
      <c r="C239" s="110">
        <v>5021403000</v>
      </c>
      <c r="D239" s="157">
        <v>0</v>
      </c>
      <c r="E239" s="97">
        <v>0</v>
      </c>
      <c r="F239" s="97"/>
      <c r="G239" s="97"/>
      <c r="H239" s="97">
        <f t="shared" si="53"/>
        <v>0</v>
      </c>
      <c r="I239" s="97"/>
      <c r="J239" s="86">
        <f t="shared" si="48"/>
        <v>0</v>
      </c>
      <c r="K239" s="98">
        <f>SUM(D239:E239)</f>
        <v>0</v>
      </c>
      <c r="O239" s="85"/>
      <c r="P239" s="85"/>
      <c r="Q239" s="85"/>
      <c r="R239" s="85"/>
      <c r="W239" s="85"/>
      <c r="X239" s="86">
        <v>300902.89</v>
      </c>
      <c r="Y239" s="86">
        <f>D239-X239</f>
        <v>-300902.89</v>
      </c>
      <c r="AF239" s="86">
        <f t="shared" si="54"/>
        <v>0</v>
      </c>
      <c r="AO239" s="86">
        <f t="shared" si="52"/>
        <v>0</v>
      </c>
    </row>
    <row r="240" spans="1:41" s="86" customFormat="1" x14ac:dyDescent="0.25">
      <c r="A240" s="183" t="s">
        <v>166</v>
      </c>
      <c r="B240" s="96"/>
      <c r="C240" s="110">
        <v>5021405000</v>
      </c>
      <c r="D240" s="157">
        <v>0</v>
      </c>
      <c r="E240" s="97">
        <v>0</v>
      </c>
      <c r="F240" s="97"/>
      <c r="G240" s="97"/>
      <c r="H240" s="97">
        <f t="shared" si="53"/>
        <v>0</v>
      </c>
      <c r="I240" s="97"/>
      <c r="J240" s="86">
        <f t="shared" si="48"/>
        <v>0</v>
      </c>
      <c r="K240" s="98">
        <f>SUM(D240:E240)</f>
        <v>0</v>
      </c>
      <c r="O240" s="85"/>
      <c r="P240" s="85"/>
      <c r="Q240" s="85"/>
      <c r="R240" s="85"/>
      <c r="W240" s="85"/>
      <c r="X240" s="86">
        <v>7738095.8799999999</v>
      </c>
      <c r="Y240" s="86">
        <f>D240-X240</f>
        <v>-7738095.8799999999</v>
      </c>
      <c r="AF240" s="86">
        <f t="shared" si="54"/>
        <v>0</v>
      </c>
      <c r="AO240" s="86">
        <f t="shared" si="52"/>
        <v>0</v>
      </c>
    </row>
    <row r="241" spans="1:41" s="86" customFormat="1" x14ac:dyDescent="0.25">
      <c r="A241" s="183" t="s">
        <v>167</v>
      </c>
      <c r="B241" s="96"/>
      <c r="C241" s="110">
        <v>5021499000</v>
      </c>
      <c r="D241" s="157">
        <v>4827333900.1599998</v>
      </c>
      <c r="E241" s="97">
        <v>0</v>
      </c>
      <c r="F241" s="97">
        <f>99646.95+7385425.01+162004993.45+'[19]FC1 2024'!$I$27+6284000+88204993.89+165000+12850121.77+43882772.83+2028317+103000-3082968.13+300000+3996400-300000+60000+15045800+15742312.04+49987.55+25861508.4+9071341.93+50052.21+9711410.03</f>
        <v>404567478.98999995</v>
      </c>
      <c r="G241" s="436">
        <f>57421847.17-8486.5+'[2]WORKING PAPER FC1'!$BP$13</f>
        <v>58559207.649999999</v>
      </c>
      <c r="H241" s="97">
        <f t="shared" si="53"/>
        <v>5173342171.5</v>
      </c>
      <c r="I241" s="97"/>
      <c r="J241" s="86">
        <f t="shared" si="48"/>
        <v>4827333900.1599998</v>
      </c>
      <c r="K241" s="98">
        <f>SUM(D216:E216)</f>
        <v>211085</v>
      </c>
      <c r="O241" s="85"/>
      <c r="P241" s="85"/>
      <c r="Q241" s="85"/>
      <c r="R241" s="85"/>
      <c r="W241" s="85"/>
      <c r="X241" s="86">
        <v>0</v>
      </c>
      <c r="Y241" s="86">
        <f>D241-X241</f>
        <v>4827333900.1599998</v>
      </c>
      <c r="AF241" s="86">
        <f t="shared" si="54"/>
        <v>4827333900.1599998</v>
      </c>
      <c r="AN241" s="86">
        <v>276937.7</v>
      </c>
      <c r="AO241" s="86">
        <f t="shared" si="52"/>
        <v>463126686.63999993</v>
      </c>
    </row>
    <row r="242" spans="1:41" s="86" customFormat="1" x14ac:dyDescent="0.25">
      <c r="A242" s="183" t="s">
        <v>533</v>
      </c>
      <c r="B242" s="96"/>
      <c r="C242" s="110">
        <v>5021407000</v>
      </c>
      <c r="D242" s="157">
        <v>29549399.52</v>
      </c>
      <c r="E242" s="97">
        <v>0</v>
      </c>
      <c r="F242" s="97"/>
      <c r="G242" s="97"/>
      <c r="H242" s="97">
        <f t="shared" si="53"/>
        <v>29549399.52</v>
      </c>
      <c r="I242" s="97"/>
      <c r="J242" s="86">
        <f t="shared" si="48"/>
        <v>29549399.52</v>
      </c>
      <c r="K242" s="98">
        <f>SUM(D242:E242)</f>
        <v>29549399.52</v>
      </c>
      <c r="O242" s="85"/>
      <c r="P242" s="85"/>
      <c r="Q242" s="85"/>
      <c r="R242" s="85"/>
      <c r="W242" s="85"/>
      <c r="X242" s="86">
        <v>3832.5</v>
      </c>
      <c r="Y242" s="86">
        <f>D242-X242</f>
        <v>29545567.02</v>
      </c>
      <c r="AF242" s="86">
        <f t="shared" si="54"/>
        <v>29549399.52</v>
      </c>
      <c r="AO242" s="86">
        <f t="shared" si="52"/>
        <v>0</v>
      </c>
    </row>
    <row r="243" spans="1:41" s="86" customFormat="1" x14ac:dyDescent="0.25">
      <c r="A243" s="95" t="s">
        <v>541</v>
      </c>
      <c r="B243" s="96"/>
      <c r="C243" s="110">
        <v>5030104000</v>
      </c>
      <c r="D243" s="157">
        <v>0</v>
      </c>
      <c r="E243" s="97">
        <v>0</v>
      </c>
      <c r="F243" s="97"/>
      <c r="G243" s="97"/>
      <c r="H243" s="97">
        <f t="shared" si="53"/>
        <v>0</v>
      </c>
      <c r="I243" s="97"/>
      <c r="J243" s="86">
        <f t="shared" si="48"/>
        <v>0</v>
      </c>
      <c r="K243" s="98"/>
      <c r="O243" s="85"/>
      <c r="P243" s="85"/>
      <c r="Q243" s="85"/>
      <c r="R243" s="85"/>
      <c r="W243" s="85"/>
      <c r="AF243" s="86">
        <f t="shared" si="54"/>
        <v>0</v>
      </c>
      <c r="AO243" s="86">
        <f t="shared" si="52"/>
        <v>0</v>
      </c>
    </row>
    <row r="244" spans="1:41" s="86" customFormat="1" x14ac:dyDescent="0.25">
      <c r="A244" s="183" t="s">
        <v>169</v>
      </c>
      <c r="B244" s="96"/>
      <c r="C244" s="110">
        <v>5021003000</v>
      </c>
      <c r="D244" s="157">
        <v>135600</v>
      </c>
      <c r="E244" s="97">
        <v>0</v>
      </c>
      <c r="F244" s="97"/>
      <c r="G244" s="97"/>
      <c r="H244" s="97">
        <f t="shared" si="53"/>
        <v>135600</v>
      </c>
      <c r="I244" s="97"/>
      <c r="J244" s="86">
        <f t="shared" si="48"/>
        <v>135600</v>
      </c>
      <c r="K244" s="98">
        <f t="shared" ref="K244:K250" si="55">SUM(D244:E244)</f>
        <v>135600</v>
      </c>
      <c r="O244" s="85"/>
      <c r="P244" s="85"/>
      <c r="Q244" s="85"/>
      <c r="R244" s="85"/>
      <c r="W244" s="85"/>
      <c r="X244" s="86">
        <v>1639324.58</v>
      </c>
      <c r="Y244" s="86">
        <f t="shared" ref="Y244:Y250" si="56">D244-X244</f>
        <v>-1503724.58</v>
      </c>
      <c r="AF244" s="86">
        <f t="shared" si="54"/>
        <v>135600</v>
      </c>
      <c r="AO244" s="86">
        <f t="shared" si="52"/>
        <v>0</v>
      </c>
    </row>
    <row r="245" spans="1:41" s="86" customFormat="1" x14ac:dyDescent="0.25">
      <c r="A245" s="183" t="s">
        <v>70</v>
      </c>
      <c r="B245" s="96"/>
      <c r="C245" s="110">
        <v>5021502000</v>
      </c>
      <c r="D245" s="157">
        <v>4175006.51</v>
      </c>
      <c r="E245" s="97">
        <v>0</v>
      </c>
      <c r="F245" s="97"/>
      <c r="G245" s="97"/>
      <c r="H245" s="97">
        <f t="shared" si="53"/>
        <v>4175006.51</v>
      </c>
      <c r="I245" s="97"/>
      <c r="J245" s="86">
        <f t="shared" si="48"/>
        <v>4175006.51</v>
      </c>
      <c r="K245" s="98">
        <f t="shared" si="55"/>
        <v>4175006.51</v>
      </c>
      <c r="O245" s="85"/>
      <c r="P245" s="85"/>
      <c r="Q245" s="85"/>
      <c r="R245" s="85"/>
      <c r="W245" s="85"/>
      <c r="X245" s="86">
        <v>36311.160000000003</v>
      </c>
      <c r="Y245" s="86">
        <f t="shared" si="56"/>
        <v>4138695.3499999996</v>
      </c>
      <c r="AF245" s="86">
        <f t="shared" si="54"/>
        <v>4175006.51</v>
      </c>
      <c r="AO245" s="86">
        <f t="shared" si="52"/>
        <v>0</v>
      </c>
    </row>
    <row r="246" spans="1:41" s="86" customFormat="1" ht="16.5" customHeight="1" x14ac:dyDescent="0.25">
      <c r="A246" s="183" t="s">
        <v>71</v>
      </c>
      <c r="B246" s="96"/>
      <c r="C246" s="110">
        <v>5021503000</v>
      </c>
      <c r="D246" s="157">
        <v>1169072.22</v>
      </c>
      <c r="E246" s="97">
        <v>0</v>
      </c>
      <c r="F246" s="97">
        <f>'[19]FC1 2024'!$I$35</f>
        <v>390088.68916663527</v>
      </c>
      <c r="G246" s="97"/>
      <c r="H246" s="97">
        <f t="shared" si="53"/>
        <v>1559160.9091666352</v>
      </c>
      <c r="I246" s="97"/>
      <c r="J246" s="86">
        <f t="shared" si="48"/>
        <v>1169072.22</v>
      </c>
      <c r="K246" s="98">
        <f t="shared" si="55"/>
        <v>1169072.22</v>
      </c>
      <c r="O246" s="85"/>
      <c r="P246" s="85"/>
      <c r="Q246" s="85"/>
      <c r="R246" s="85"/>
      <c r="W246" s="85"/>
      <c r="X246" s="86">
        <v>33599.75</v>
      </c>
      <c r="Y246" s="86">
        <f t="shared" si="56"/>
        <v>1135472.47</v>
      </c>
      <c r="AF246" s="86">
        <f t="shared" si="54"/>
        <v>1169072.22</v>
      </c>
      <c r="AO246" s="86">
        <f t="shared" si="52"/>
        <v>390088.68916663527</v>
      </c>
    </row>
    <row r="247" spans="1:41" s="86" customFormat="1" x14ac:dyDescent="0.25">
      <c r="A247" s="183" t="s">
        <v>170</v>
      </c>
      <c r="B247" s="96"/>
      <c r="C247" s="110">
        <v>5021601000</v>
      </c>
      <c r="D247" s="157">
        <v>1751119.15</v>
      </c>
      <c r="E247" s="97">
        <v>0</v>
      </c>
      <c r="F247" s="97"/>
      <c r="G247" s="97">
        <f>'[19]FC1 2024'!$J$87</f>
        <v>9774.39</v>
      </c>
      <c r="H247" s="97">
        <f t="shared" si="53"/>
        <v>1741344.76</v>
      </c>
      <c r="I247" s="97"/>
      <c r="J247" s="86">
        <f t="shared" si="48"/>
        <v>1751119.15</v>
      </c>
      <c r="K247" s="98">
        <f t="shared" si="55"/>
        <v>1751119.15</v>
      </c>
      <c r="O247" s="85"/>
      <c r="P247" s="85"/>
      <c r="Q247" s="85"/>
      <c r="R247" s="85"/>
      <c r="W247" s="85"/>
      <c r="X247" s="86">
        <v>287414.45</v>
      </c>
      <c r="Y247" s="86">
        <f t="shared" si="56"/>
        <v>1463704.7</v>
      </c>
      <c r="AF247" s="86">
        <f t="shared" si="54"/>
        <v>1751119.15</v>
      </c>
      <c r="AO247" s="86">
        <f t="shared" si="52"/>
        <v>9774.39</v>
      </c>
    </row>
    <row r="248" spans="1:41" s="86" customFormat="1" x14ac:dyDescent="0.25">
      <c r="A248" s="183" t="s">
        <v>360</v>
      </c>
      <c r="B248" s="96"/>
      <c r="C248" s="110">
        <v>5050201002</v>
      </c>
      <c r="D248" s="157">
        <v>0</v>
      </c>
      <c r="E248" s="97">
        <v>0</v>
      </c>
      <c r="F248" s="97"/>
      <c r="G248" s="97"/>
      <c r="H248" s="97">
        <f t="shared" si="53"/>
        <v>0</v>
      </c>
      <c r="I248" s="97"/>
      <c r="J248" s="86">
        <f t="shared" si="48"/>
        <v>0</v>
      </c>
      <c r="K248" s="98">
        <f t="shared" si="55"/>
        <v>0</v>
      </c>
      <c r="O248" s="85"/>
      <c r="P248" s="85"/>
      <c r="Q248" s="85"/>
      <c r="R248" s="85"/>
      <c r="W248" s="85"/>
      <c r="X248" s="86">
        <v>0</v>
      </c>
      <c r="Y248" s="86">
        <f t="shared" si="56"/>
        <v>0</v>
      </c>
      <c r="AF248" s="86">
        <f t="shared" si="54"/>
        <v>0</v>
      </c>
      <c r="AO248" s="86">
        <f t="shared" si="52"/>
        <v>0</v>
      </c>
    </row>
    <row r="249" spans="1:41" s="86" customFormat="1" x14ac:dyDescent="0.25">
      <c r="A249" s="183" t="s">
        <v>386</v>
      </c>
      <c r="B249" s="96"/>
      <c r="C249" s="110">
        <v>5050102003</v>
      </c>
      <c r="D249" s="157">
        <v>0</v>
      </c>
      <c r="E249" s="97">
        <v>0</v>
      </c>
      <c r="F249" s="97"/>
      <c r="G249" s="97"/>
      <c r="H249" s="97">
        <f t="shared" si="53"/>
        <v>0</v>
      </c>
      <c r="I249" s="97"/>
      <c r="J249" s="86">
        <f t="shared" si="48"/>
        <v>0</v>
      </c>
      <c r="K249" s="98">
        <f t="shared" si="55"/>
        <v>0</v>
      </c>
      <c r="O249" s="85"/>
      <c r="P249" s="85"/>
      <c r="Q249" s="85"/>
      <c r="R249" s="85"/>
      <c r="W249" s="85"/>
      <c r="X249" s="86">
        <v>857074.55</v>
      </c>
      <c r="Y249" s="86">
        <f t="shared" si="56"/>
        <v>-857074.55</v>
      </c>
      <c r="AF249" s="86">
        <f t="shared" si="54"/>
        <v>0</v>
      </c>
      <c r="AO249" s="86">
        <f t="shared" si="52"/>
        <v>0</v>
      </c>
    </row>
    <row r="250" spans="1:41" s="86" customFormat="1" ht="16.5" customHeight="1" x14ac:dyDescent="0.25">
      <c r="A250" s="183" t="s">
        <v>419</v>
      </c>
      <c r="B250" s="96"/>
      <c r="C250" s="110">
        <v>5050108002</v>
      </c>
      <c r="D250" s="157">
        <v>30637.5</v>
      </c>
      <c r="E250" s="97">
        <v>0</v>
      </c>
      <c r="F250" s="97"/>
      <c r="G250" s="97"/>
      <c r="H250" s="97">
        <f t="shared" si="53"/>
        <v>30637.5</v>
      </c>
      <c r="I250" s="97"/>
      <c r="J250" s="86">
        <f t="shared" si="48"/>
        <v>30637.5</v>
      </c>
      <c r="K250" s="98">
        <f t="shared" si="55"/>
        <v>30637.5</v>
      </c>
      <c r="O250" s="85"/>
      <c r="P250" s="85"/>
      <c r="Q250" s="85"/>
      <c r="R250" s="85"/>
      <c r="W250" s="85"/>
      <c r="X250" s="86">
        <v>4782675.84</v>
      </c>
      <c r="Y250" s="86">
        <f t="shared" si="56"/>
        <v>-4752038.34</v>
      </c>
      <c r="AF250" s="86">
        <f t="shared" si="54"/>
        <v>30637.5</v>
      </c>
      <c r="AO250" s="86">
        <f t="shared" si="52"/>
        <v>0</v>
      </c>
    </row>
    <row r="251" spans="1:41" s="86" customFormat="1" ht="16.5" customHeight="1" x14ac:dyDescent="0.25">
      <c r="A251" s="183" t="s">
        <v>386</v>
      </c>
      <c r="B251" s="96"/>
      <c r="C251" s="110">
        <v>5050102099</v>
      </c>
      <c r="D251" s="157">
        <v>244793.05</v>
      </c>
      <c r="E251" s="97">
        <v>0</v>
      </c>
      <c r="F251" s="97"/>
      <c r="G251" s="97"/>
      <c r="H251" s="97">
        <f t="shared" si="53"/>
        <v>244793.05</v>
      </c>
      <c r="I251" s="97"/>
      <c r="K251" s="98"/>
      <c r="O251" s="85"/>
      <c r="P251" s="85"/>
      <c r="Q251" s="85"/>
      <c r="R251" s="85"/>
      <c r="W251" s="85"/>
    </row>
    <row r="252" spans="1:41" s="86" customFormat="1" ht="16.5" customHeight="1" x14ac:dyDescent="0.25">
      <c r="A252" s="183" t="s">
        <v>72</v>
      </c>
      <c r="B252" s="96"/>
      <c r="C252" s="110">
        <v>5050104001</v>
      </c>
      <c r="D252" s="157">
        <v>3815094.78</v>
      </c>
      <c r="E252" s="97">
        <v>0</v>
      </c>
      <c r="F252" s="97">
        <v>4077156.99</v>
      </c>
      <c r="G252" s="97"/>
      <c r="H252" s="97">
        <f t="shared" si="53"/>
        <v>7892251.7699999996</v>
      </c>
      <c r="I252" s="97"/>
      <c r="J252" s="86">
        <f t="shared" ref="J252:J263" si="57">D252+E252</f>
        <v>3815094.78</v>
      </c>
      <c r="K252" s="98">
        <f>SUM(D252:E252)</f>
        <v>3815094.78</v>
      </c>
      <c r="O252" s="85"/>
      <c r="P252" s="85"/>
      <c r="Q252" s="85"/>
      <c r="R252" s="85"/>
      <c r="W252" s="85"/>
      <c r="X252" s="86">
        <v>32371.66</v>
      </c>
      <c r="Y252" s="86">
        <f>D252-X252</f>
        <v>3782723.1199999996</v>
      </c>
      <c r="AF252" s="86">
        <f>D252+E252</f>
        <v>3815094.78</v>
      </c>
      <c r="AO252" s="86">
        <f t="shared" ref="AO252:AO271" si="58">F252+G252</f>
        <v>4077156.99</v>
      </c>
    </row>
    <row r="253" spans="1:41" x14ac:dyDescent="0.25">
      <c r="A253" s="183" t="s">
        <v>171</v>
      </c>
      <c r="B253" s="96"/>
      <c r="C253" s="110">
        <v>5050104099</v>
      </c>
      <c r="D253" s="157">
        <v>976015.31</v>
      </c>
      <c r="E253" s="97">
        <v>0</v>
      </c>
      <c r="F253" s="97">
        <f>'[19]FC1 2024'!$I$74</f>
        <v>234887.5</v>
      </c>
      <c r="G253" s="97"/>
      <c r="H253" s="97">
        <f t="shared" si="53"/>
        <v>1210902.81</v>
      </c>
      <c r="I253" s="97"/>
      <c r="J253" s="86">
        <f t="shared" si="57"/>
        <v>976015.31</v>
      </c>
      <c r="K253" s="98">
        <f>SUM(D253:E253)</f>
        <v>976015.31</v>
      </c>
      <c r="L253" s="86"/>
      <c r="X253" s="86">
        <v>0</v>
      </c>
      <c r="Y253" s="86">
        <f>D253-X253</f>
        <v>976015.31</v>
      </c>
      <c r="AF253" s="86">
        <f>D253+E253</f>
        <v>976015.31</v>
      </c>
      <c r="AO253" s="86">
        <f t="shared" si="58"/>
        <v>234887.5</v>
      </c>
    </row>
    <row r="254" spans="1:41" x14ac:dyDescent="0.25">
      <c r="A254" s="183" t="s">
        <v>74</v>
      </c>
      <c r="B254" s="96"/>
      <c r="C254" s="110">
        <v>5050107001</v>
      </c>
      <c r="D254" s="157">
        <v>30951.95</v>
      </c>
      <c r="E254" s="97">
        <v>0</v>
      </c>
      <c r="F254" s="97"/>
      <c r="G254" s="97"/>
      <c r="H254" s="97">
        <f t="shared" si="53"/>
        <v>30951.95</v>
      </c>
      <c r="I254" s="97"/>
      <c r="J254" s="86">
        <f t="shared" si="57"/>
        <v>30951.95</v>
      </c>
      <c r="K254" s="98">
        <f>SUM(D254:E254)</f>
        <v>30951.95</v>
      </c>
      <c r="L254" s="86"/>
      <c r="X254" s="86">
        <v>0</v>
      </c>
      <c r="Y254" s="86">
        <f>D254-X254</f>
        <v>30951.95</v>
      </c>
      <c r="AF254" s="86">
        <f>D254+E254</f>
        <v>30951.95</v>
      </c>
      <c r="AO254" s="86">
        <f t="shared" si="58"/>
        <v>0</v>
      </c>
    </row>
    <row r="255" spans="1:41" ht="16.5" customHeight="1" x14ac:dyDescent="0.25">
      <c r="A255" s="183" t="s">
        <v>172</v>
      </c>
      <c r="B255" s="96"/>
      <c r="C255" s="110">
        <v>5050107002</v>
      </c>
      <c r="D255" s="157">
        <v>0</v>
      </c>
      <c r="E255" s="97">
        <v>0</v>
      </c>
      <c r="F255" s="97"/>
      <c r="G255" s="97"/>
      <c r="H255" s="97">
        <f t="shared" si="53"/>
        <v>0</v>
      </c>
      <c r="I255" s="97"/>
      <c r="J255" s="86">
        <f t="shared" si="57"/>
        <v>0</v>
      </c>
      <c r="K255" s="98">
        <f>SUM(D255:E255)</f>
        <v>0</v>
      </c>
      <c r="L255" s="86"/>
      <c r="X255" s="86">
        <v>7424.39</v>
      </c>
      <c r="Y255" s="86">
        <f>D255-X255</f>
        <v>-7424.39</v>
      </c>
      <c r="AF255" s="86">
        <f>D255+E255</f>
        <v>0</v>
      </c>
      <c r="AO255" s="86">
        <f t="shared" si="58"/>
        <v>0</v>
      </c>
    </row>
    <row r="256" spans="1:41" ht="16.5" customHeight="1" x14ac:dyDescent="0.25">
      <c r="A256" s="183" t="s">
        <v>73</v>
      </c>
      <c r="B256" s="96"/>
      <c r="C256" s="110">
        <v>5050105002</v>
      </c>
      <c r="D256" s="157">
        <v>951104.81</v>
      </c>
      <c r="E256" s="97">
        <v>0</v>
      </c>
      <c r="F256" s="97"/>
      <c r="G256" s="97"/>
      <c r="H256" s="97">
        <f t="shared" si="53"/>
        <v>951104.81</v>
      </c>
      <c r="I256" s="97"/>
      <c r="J256" s="86">
        <f t="shared" si="57"/>
        <v>951104.81</v>
      </c>
      <c r="K256" s="98"/>
      <c r="L256" s="86"/>
      <c r="X256" s="86"/>
      <c r="Y256" s="86"/>
      <c r="AF256" s="86"/>
      <c r="AO256" s="86">
        <f t="shared" si="58"/>
        <v>0</v>
      </c>
    </row>
    <row r="257" spans="1:43" x14ac:dyDescent="0.25">
      <c r="A257" s="183" t="s">
        <v>75</v>
      </c>
      <c r="B257" s="96"/>
      <c r="C257" s="110">
        <v>5050105003</v>
      </c>
      <c r="D257" s="157">
        <v>3993983.54</v>
      </c>
      <c r="E257" s="97">
        <v>0</v>
      </c>
      <c r="F257" s="97">
        <f>17375+125070</f>
        <v>142445</v>
      </c>
      <c r="G257" s="97"/>
      <c r="H257" s="97">
        <f t="shared" si="53"/>
        <v>4136428.54</v>
      </c>
      <c r="I257" s="97"/>
      <c r="J257" s="86">
        <f t="shared" si="57"/>
        <v>3993983.54</v>
      </c>
      <c r="K257" s="98">
        <f>SUM(D257:E257)</f>
        <v>3993983.54</v>
      </c>
      <c r="L257" s="86"/>
      <c r="X257" s="86">
        <v>33662.28</v>
      </c>
      <c r="Y257" s="86">
        <f>D257-X257</f>
        <v>3960321.2600000002</v>
      </c>
      <c r="AF257" s="86">
        <f t="shared" ref="AF257:AF263" si="59">D257+E257</f>
        <v>3993983.54</v>
      </c>
      <c r="AO257" s="86">
        <f t="shared" si="58"/>
        <v>142445</v>
      </c>
    </row>
    <row r="258" spans="1:43" ht="16.5" customHeight="1" x14ac:dyDescent="0.25">
      <c r="A258" s="183" t="s">
        <v>76</v>
      </c>
      <c r="B258" s="96"/>
      <c r="C258" s="110">
        <v>5050105007</v>
      </c>
      <c r="D258" s="157">
        <v>575464.92000000004</v>
      </c>
      <c r="E258" s="97">
        <v>0</v>
      </c>
      <c r="F258" s="97"/>
      <c r="G258" s="97"/>
      <c r="H258" s="97">
        <f t="shared" si="53"/>
        <v>575464.92000000004</v>
      </c>
      <c r="I258" s="97"/>
      <c r="J258" s="86">
        <f t="shared" si="57"/>
        <v>575464.92000000004</v>
      </c>
      <c r="K258" s="98">
        <f>SUM(D258:E258)</f>
        <v>575464.92000000004</v>
      </c>
      <c r="L258" s="86"/>
      <c r="X258" s="86">
        <v>0</v>
      </c>
      <c r="Y258" s="86">
        <f>D258-X258</f>
        <v>575464.92000000004</v>
      </c>
      <c r="AF258" s="86">
        <f t="shared" si="59"/>
        <v>575464.92000000004</v>
      </c>
      <c r="AO258" s="86">
        <f t="shared" si="58"/>
        <v>0</v>
      </c>
    </row>
    <row r="259" spans="1:43" ht="16.5" customHeight="1" x14ac:dyDescent="0.25">
      <c r="A259" s="183" t="s">
        <v>173</v>
      </c>
      <c r="B259" s="96"/>
      <c r="C259" s="110">
        <v>5050105009</v>
      </c>
      <c r="D259" s="157">
        <v>0</v>
      </c>
      <c r="E259" s="97">
        <v>0</v>
      </c>
      <c r="F259" s="97"/>
      <c r="G259" s="97"/>
      <c r="H259" s="97">
        <f t="shared" si="53"/>
        <v>0</v>
      </c>
      <c r="I259" s="97"/>
      <c r="J259" s="86">
        <f t="shared" si="57"/>
        <v>0</v>
      </c>
      <c r="K259" s="98">
        <f>SUM(D234:E234)</f>
        <v>52837.05</v>
      </c>
      <c r="L259" s="86"/>
      <c r="X259" s="86">
        <v>1745040.64</v>
      </c>
      <c r="Y259" s="86">
        <f>D259-X259</f>
        <v>-1745040.64</v>
      </c>
      <c r="Z259" s="86">
        <f>SUM(E120:E261)</f>
        <v>7617556271.1799994</v>
      </c>
      <c r="AA259" s="86">
        <f>SUM(D10:D114)</f>
        <v>1856685705.9899998</v>
      </c>
      <c r="AB259" s="86">
        <f>SUM(E95:E116)</f>
        <v>332264477.27999997</v>
      </c>
      <c r="AC259" s="86">
        <f>E117</f>
        <v>0</v>
      </c>
      <c r="AF259" s="86">
        <f t="shared" si="59"/>
        <v>0</v>
      </c>
      <c r="AO259" s="86">
        <f t="shared" si="58"/>
        <v>0</v>
      </c>
    </row>
    <row r="260" spans="1:43" ht="16.5" customHeight="1" x14ac:dyDescent="0.25">
      <c r="A260" s="183" t="s">
        <v>174</v>
      </c>
      <c r="B260" s="96"/>
      <c r="C260" s="110">
        <v>5050105011</v>
      </c>
      <c r="D260" s="157">
        <v>0</v>
      </c>
      <c r="E260" s="97">
        <v>0</v>
      </c>
      <c r="F260" s="97"/>
      <c r="G260" s="97"/>
      <c r="H260" s="97">
        <f t="shared" si="53"/>
        <v>0</v>
      </c>
      <c r="I260" s="97"/>
      <c r="J260" s="86">
        <f t="shared" si="57"/>
        <v>0</v>
      </c>
      <c r="K260" s="98">
        <f>SUM(D260:E260)</f>
        <v>0</v>
      </c>
      <c r="L260" s="86"/>
      <c r="X260" s="86">
        <v>0</v>
      </c>
      <c r="Y260" s="86">
        <f>D260-X260</f>
        <v>0</v>
      </c>
      <c r="Z260" s="86">
        <f>SUM(E120:E262)</f>
        <v>7617556271.1799994</v>
      </c>
      <c r="AA260" s="86">
        <f>SUM(D10:D115)</f>
        <v>1856685705.9899998</v>
      </c>
      <c r="AB260" s="86">
        <f>SUM(E96:E117)</f>
        <v>332264477.27999997</v>
      </c>
      <c r="AC260" s="86">
        <f>E118</f>
        <v>0</v>
      </c>
      <c r="AF260" s="86">
        <f t="shared" si="59"/>
        <v>0</v>
      </c>
      <c r="AO260" s="86">
        <f t="shared" si="58"/>
        <v>0</v>
      </c>
    </row>
    <row r="261" spans="1:43" ht="16.5" customHeight="1" x14ac:dyDescent="0.25">
      <c r="A261" s="183" t="s">
        <v>77</v>
      </c>
      <c r="B261" s="96"/>
      <c r="C261" s="110">
        <v>5050105013</v>
      </c>
      <c r="D261" s="157">
        <v>42194.92</v>
      </c>
      <c r="E261" s="97">
        <v>0</v>
      </c>
      <c r="F261" s="97"/>
      <c r="G261" s="97"/>
      <c r="H261" s="97">
        <f t="shared" si="53"/>
        <v>42194.92</v>
      </c>
      <c r="I261" s="97"/>
      <c r="J261" s="86">
        <f t="shared" si="57"/>
        <v>42194.92</v>
      </c>
      <c r="K261" s="98">
        <f>SUM(D259:E259)</f>
        <v>0</v>
      </c>
      <c r="L261" s="86"/>
      <c r="X261" s="86">
        <v>0</v>
      </c>
      <c r="Y261" s="86">
        <f>D261-X261</f>
        <v>42194.92</v>
      </c>
      <c r="Z261" s="86">
        <f>SUM(D134:D261)</f>
        <v>6186315403.1500015</v>
      </c>
      <c r="AA261" s="86">
        <f>SUM(E53:E116)</f>
        <v>427429415.38999999</v>
      </c>
      <c r="AF261" s="86">
        <f t="shared" si="59"/>
        <v>42194.92</v>
      </c>
      <c r="AO261" s="86">
        <f t="shared" si="58"/>
        <v>0</v>
      </c>
    </row>
    <row r="262" spans="1:43" ht="16.5" thickBot="1" x14ac:dyDescent="0.3">
      <c r="A262" s="286" t="s">
        <v>267</v>
      </c>
      <c r="C262" s="110">
        <v>5050105014</v>
      </c>
      <c r="D262" s="157">
        <v>25350.41</v>
      </c>
      <c r="E262" s="97">
        <v>0</v>
      </c>
      <c r="F262" s="97"/>
      <c r="G262" s="97"/>
      <c r="H262" s="97">
        <f t="shared" si="53"/>
        <v>25350.41</v>
      </c>
      <c r="I262" s="97"/>
      <c r="J262" s="86">
        <f t="shared" si="57"/>
        <v>25350.41</v>
      </c>
      <c r="K262" s="122" t="e">
        <f>SUM(K9:K261)</f>
        <v>#REF!</v>
      </c>
      <c r="L262" s="86"/>
      <c r="X262" s="86">
        <v>0</v>
      </c>
      <c r="Y262" s="86">
        <f>SUM(Y10:Y261)</f>
        <v>-850710718.6500001</v>
      </c>
      <c r="Z262" s="104">
        <f>Z259-Z261</f>
        <v>1431240868.0299978</v>
      </c>
      <c r="AA262" s="104">
        <f>AA259-AA261</f>
        <v>1429256290.5999999</v>
      </c>
      <c r="AB262" s="104">
        <f>AB259</f>
        <v>332264477.27999997</v>
      </c>
      <c r="AC262" s="104">
        <f>AC259</f>
        <v>0</v>
      </c>
      <c r="AD262" s="104">
        <f>AC262+Z262</f>
        <v>1431240868.0299978</v>
      </c>
      <c r="AF262" s="86">
        <f t="shared" si="59"/>
        <v>25350.41</v>
      </c>
      <c r="AO262" s="86">
        <f t="shared" si="58"/>
        <v>0</v>
      </c>
    </row>
    <row r="263" spans="1:43" ht="17.25" thickTop="1" thickBot="1" x14ac:dyDescent="0.3">
      <c r="A263" s="95" t="s">
        <v>542</v>
      </c>
      <c r="B263" s="102" t="s">
        <v>94</v>
      </c>
      <c r="C263" s="110">
        <v>5050105099</v>
      </c>
      <c r="D263" s="157">
        <v>250698.12</v>
      </c>
      <c r="E263" s="97">
        <v>0</v>
      </c>
      <c r="F263" s="97"/>
      <c r="G263" s="97"/>
      <c r="H263" s="97">
        <f t="shared" si="53"/>
        <v>250698.12</v>
      </c>
      <c r="I263" s="97"/>
      <c r="J263" s="86">
        <f t="shared" si="57"/>
        <v>250698.12</v>
      </c>
      <c r="K263" s="358">
        <f>SUM(D262:E262)</f>
        <v>25350.41</v>
      </c>
      <c r="X263" s="86">
        <v>0</v>
      </c>
      <c r="Y263" s="86"/>
      <c r="AF263" s="86">
        <f t="shared" si="59"/>
        <v>250698.12</v>
      </c>
      <c r="AO263" s="86">
        <f t="shared" si="58"/>
        <v>0</v>
      </c>
    </row>
    <row r="264" spans="1:43" ht="16.5" thickTop="1" x14ac:dyDescent="0.25">
      <c r="A264" s="286" t="s">
        <v>78</v>
      </c>
      <c r="B264" s="102"/>
      <c r="C264" s="110">
        <v>5050106001</v>
      </c>
      <c r="D264" s="157">
        <v>3008333.89</v>
      </c>
      <c r="E264" s="97">
        <v>0</v>
      </c>
      <c r="F264" s="97"/>
      <c r="G264" s="97"/>
      <c r="H264" s="97">
        <f t="shared" si="53"/>
        <v>3008333.89</v>
      </c>
      <c r="I264" s="97"/>
      <c r="K264" s="98"/>
      <c r="X264" s="86"/>
      <c r="Y264" s="86"/>
      <c r="AF264" s="86"/>
      <c r="AO264" s="86">
        <f t="shared" si="58"/>
        <v>0</v>
      </c>
    </row>
    <row r="265" spans="1:43" x14ac:dyDescent="0.25">
      <c r="A265" s="286" t="s">
        <v>79</v>
      </c>
      <c r="B265" s="102"/>
      <c r="C265" s="110">
        <v>5050199099</v>
      </c>
      <c r="D265" s="157">
        <v>0</v>
      </c>
      <c r="E265" s="97">
        <v>0</v>
      </c>
      <c r="F265" s="97"/>
      <c r="G265" s="97"/>
      <c r="H265" s="97">
        <f t="shared" si="53"/>
        <v>0</v>
      </c>
      <c r="I265" s="97"/>
      <c r="K265" s="98"/>
      <c r="X265" s="86"/>
      <c r="Y265" s="86"/>
      <c r="AF265" s="86"/>
      <c r="AO265" s="86">
        <f t="shared" si="58"/>
        <v>0</v>
      </c>
    </row>
    <row r="266" spans="1:43" x14ac:dyDescent="0.25">
      <c r="A266" s="286" t="s">
        <v>80</v>
      </c>
      <c r="B266" s="102"/>
      <c r="C266" s="110">
        <v>5029999099</v>
      </c>
      <c r="D266" s="157">
        <v>7296683.4199999999</v>
      </c>
      <c r="E266" s="97">
        <v>0</v>
      </c>
      <c r="F266" s="97">
        <f>'[19]FC1 2024'!$I$58+282998</f>
        <v>735231.92999999993</v>
      </c>
      <c r="G266" s="97">
        <v>17959.490000000002</v>
      </c>
      <c r="H266" s="97">
        <f t="shared" ref="H266:H271" si="60">D266+F266-G266</f>
        <v>8013955.8599999994</v>
      </c>
      <c r="I266" s="97"/>
      <c r="K266" s="98"/>
      <c r="X266" s="86"/>
      <c r="Y266" s="86"/>
      <c r="AF266" s="86"/>
      <c r="AO266" s="86">
        <f t="shared" si="58"/>
        <v>753191.41999999993</v>
      </c>
    </row>
    <row r="267" spans="1:43" x14ac:dyDescent="0.25">
      <c r="A267" s="286" t="s">
        <v>176</v>
      </c>
      <c r="B267" s="102"/>
      <c r="C267" s="110">
        <v>5050409000</v>
      </c>
      <c r="D267" s="157">
        <v>0</v>
      </c>
      <c r="E267" s="97">
        <v>0</v>
      </c>
      <c r="F267" s="97"/>
      <c r="G267" s="97"/>
      <c r="H267" s="97">
        <f t="shared" si="60"/>
        <v>0</v>
      </c>
      <c r="I267" s="97"/>
      <c r="K267" s="98"/>
      <c r="X267" s="86"/>
      <c r="Y267" s="86"/>
      <c r="AF267" s="86"/>
      <c r="AO267" s="86">
        <f t="shared" si="58"/>
        <v>0</v>
      </c>
      <c r="AQ267" s="86">
        <f>15045800+60000</f>
        <v>15105800</v>
      </c>
    </row>
    <row r="268" spans="1:43" x14ac:dyDescent="0.25">
      <c r="A268" s="286" t="s">
        <v>450</v>
      </c>
      <c r="B268" s="102"/>
      <c r="C268" s="110">
        <v>5050425000</v>
      </c>
      <c r="D268" s="157">
        <v>0</v>
      </c>
      <c r="E268" s="97">
        <v>0</v>
      </c>
      <c r="F268" s="97"/>
      <c r="G268" s="97"/>
      <c r="H268" s="97">
        <f t="shared" si="60"/>
        <v>0</v>
      </c>
      <c r="I268" s="97"/>
      <c r="K268" s="98"/>
      <c r="X268" s="86"/>
      <c r="Y268" s="86"/>
      <c r="AF268" s="86"/>
      <c r="AO268" s="86">
        <f t="shared" si="58"/>
        <v>0</v>
      </c>
    </row>
    <row r="269" spans="1:43" x14ac:dyDescent="0.25">
      <c r="A269" s="286" t="s">
        <v>457</v>
      </c>
      <c r="B269" s="102"/>
      <c r="C269" s="110">
        <v>5060405003</v>
      </c>
      <c r="D269" s="157">
        <v>0</v>
      </c>
      <c r="E269" s="97">
        <v>0</v>
      </c>
      <c r="F269" s="97"/>
      <c r="G269" s="97"/>
      <c r="H269" s="97">
        <f t="shared" si="60"/>
        <v>0</v>
      </c>
      <c r="I269" s="97"/>
      <c r="K269" s="98"/>
      <c r="X269" s="86"/>
      <c r="Y269" s="86"/>
      <c r="AF269" s="86"/>
      <c r="AO269" s="86">
        <f t="shared" si="58"/>
        <v>0</v>
      </c>
    </row>
    <row r="270" spans="1:43" x14ac:dyDescent="0.25">
      <c r="A270" s="286" t="s">
        <v>370</v>
      </c>
      <c r="B270" s="102"/>
      <c r="C270" s="110">
        <v>5060401000</v>
      </c>
      <c r="D270" s="157">
        <v>0</v>
      </c>
      <c r="E270" s="97">
        <v>0</v>
      </c>
      <c r="F270" s="97"/>
      <c r="G270" s="97"/>
      <c r="H270" s="97">
        <f t="shared" si="60"/>
        <v>0</v>
      </c>
      <c r="I270" s="97"/>
      <c r="K270" s="98"/>
      <c r="X270" s="86"/>
      <c r="Y270" s="86"/>
      <c r="AF270" s="86"/>
      <c r="AO270" s="86">
        <f t="shared" si="58"/>
        <v>0</v>
      </c>
    </row>
    <row r="271" spans="1:43" x14ac:dyDescent="0.25">
      <c r="A271" s="286" t="s">
        <v>177</v>
      </c>
      <c r="B271" s="102"/>
      <c r="C271" s="110">
        <v>5050499000</v>
      </c>
      <c r="D271" s="157">
        <v>0</v>
      </c>
      <c r="E271" s="97">
        <v>0</v>
      </c>
      <c r="F271" s="97"/>
      <c r="G271" s="97"/>
      <c r="H271" s="97">
        <f t="shared" si="60"/>
        <v>0</v>
      </c>
      <c r="I271" s="97"/>
      <c r="K271" s="98"/>
      <c r="X271" s="86"/>
      <c r="Y271" s="86"/>
      <c r="AF271" s="86"/>
      <c r="AO271" s="86">
        <f t="shared" si="58"/>
        <v>0</v>
      </c>
    </row>
    <row r="272" spans="1:43" hidden="1" x14ac:dyDescent="0.25">
      <c r="B272" s="102"/>
      <c r="C272" s="110"/>
      <c r="D272" s="157"/>
      <c r="E272" s="97"/>
      <c r="F272" s="97"/>
      <c r="G272" s="97"/>
      <c r="H272" s="97"/>
      <c r="I272" s="97"/>
      <c r="K272" s="98"/>
      <c r="X272" s="86"/>
      <c r="Y272" s="86"/>
      <c r="AF272" s="86"/>
    </row>
    <row r="273" spans="1:41" hidden="1" x14ac:dyDescent="0.25">
      <c r="B273" s="102"/>
      <c r="C273" s="110"/>
      <c r="D273" s="157"/>
      <c r="E273" s="97"/>
      <c r="F273" s="97"/>
      <c r="G273" s="97"/>
      <c r="H273" s="97"/>
      <c r="I273" s="97"/>
      <c r="K273" s="98"/>
      <c r="X273" s="86"/>
      <c r="Y273" s="86"/>
      <c r="AF273" s="86"/>
    </row>
    <row r="274" spans="1:41" hidden="1" x14ac:dyDescent="0.25">
      <c r="B274" s="102"/>
      <c r="C274" s="110"/>
      <c r="D274" s="157"/>
      <c r="E274" s="97"/>
      <c r="F274" s="97"/>
      <c r="G274" s="97"/>
      <c r="H274" s="97"/>
      <c r="I274" s="97"/>
      <c r="K274" s="98"/>
      <c r="X274" s="86"/>
      <c r="Y274" s="86"/>
      <c r="AF274" s="86"/>
    </row>
    <row r="275" spans="1:41" hidden="1" x14ac:dyDescent="0.25">
      <c r="B275" s="102"/>
      <c r="C275" s="110"/>
      <c r="D275" s="157"/>
      <c r="E275" s="97"/>
      <c r="F275" s="97"/>
      <c r="G275" s="97"/>
      <c r="H275" s="97"/>
      <c r="I275" s="97"/>
      <c r="K275" s="98"/>
      <c r="X275" s="86"/>
      <c r="Y275" s="86"/>
      <c r="AF275" s="86"/>
    </row>
    <row r="276" spans="1:41" hidden="1" x14ac:dyDescent="0.25">
      <c r="B276" s="102"/>
      <c r="C276" s="110"/>
      <c r="D276" s="157"/>
      <c r="E276" s="97"/>
      <c r="F276" s="97"/>
      <c r="G276" s="97"/>
      <c r="H276" s="97"/>
      <c r="I276" s="97"/>
      <c r="K276" s="98"/>
      <c r="X276" s="86"/>
      <c r="Y276" s="86"/>
      <c r="AF276" s="86"/>
    </row>
    <row r="277" spans="1:41" hidden="1" x14ac:dyDescent="0.25">
      <c r="B277" s="102"/>
      <c r="C277" s="110"/>
      <c r="D277" s="157"/>
      <c r="E277" s="97"/>
      <c r="F277" s="97"/>
      <c r="G277" s="97"/>
      <c r="H277" s="97"/>
      <c r="I277" s="97"/>
      <c r="K277" s="98"/>
      <c r="X277" s="86"/>
      <c r="Y277" s="86"/>
      <c r="AF277" s="86"/>
    </row>
    <row r="278" spans="1:41" ht="16.5" thickBot="1" x14ac:dyDescent="0.3">
      <c r="A278" s="287"/>
      <c r="C278" s="359"/>
      <c r="D278" s="140">
        <f>SUM(D10:D271)</f>
        <v>8053582174.9800005</v>
      </c>
      <c r="E278" s="140">
        <f>SUM(E10:E271)</f>
        <v>8053582174.9799995</v>
      </c>
      <c r="F278" s="140">
        <f>SUM(F10:F271)</f>
        <v>1412794604.4191663</v>
      </c>
      <c r="G278" s="140">
        <f>SUM(G10:G277)</f>
        <v>1412794604.4191666</v>
      </c>
      <c r="H278" s="140">
        <f>SUM(H10:H271)</f>
        <v>8139364606.8400002</v>
      </c>
      <c r="I278" s="140">
        <f>SUM(I10:I271)</f>
        <v>8139364606.8399992</v>
      </c>
      <c r="J278" s="140">
        <f>SUM(J10:J263)</f>
        <v>16096294604.200005</v>
      </c>
      <c r="AF278" s="86">
        <f t="shared" ref="AF278:AF280" si="61">D278+E278</f>
        <v>16107164349.959999</v>
      </c>
      <c r="AO278" s="90">
        <f>SUM(AO10:AO277)</f>
        <v>2825535895.8383322</v>
      </c>
    </row>
    <row r="279" spans="1:41" ht="16.5" thickTop="1" x14ac:dyDescent="0.25">
      <c r="A279" s="287" t="s">
        <v>411</v>
      </c>
      <c r="D279" s="138"/>
      <c r="E279" s="138">
        <f>D278-E278</f>
        <v>0</v>
      </c>
      <c r="F279" s="138"/>
      <c r="G279" s="138">
        <f>F278-G278</f>
        <v>0</v>
      </c>
      <c r="H279" s="138"/>
      <c r="I279" s="138">
        <f>H278-I278</f>
        <v>0</v>
      </c>
      <c r="J279" s="138">
        <f>SUM(J11:J278)</f>
        <v>32158140292.720009</v>
      </c>
      <c r="AF279" s="86">
        <f t="shared" si="61"/>
        <v>0</v>
      </c>
    </row>
    <row r="280" spans="1:41" x14ac:dyDescent="0.25">
      <c r="A280" s="287"/>
      <c r="D280" s="86" t="s">
        <v>412</v>
      </c>
      <c r="F280" s="360">
        <f>'[22]FC1 JUNE'!$F$15+'[22]FC1 JUNE'!$K$15</f>
        <v>561570128.3489871</v>
      </c>
      <c r="G280" s="360">
        <f>'[22]FC1 JUNE'!$G$15+'[22]FC1 JUNE'!$L$15</f>
        <v>561009520.5989871</v>
      </c>
      <c r="H280" s="360"/>
      <c r="AF280" s="86" t="e">
        <f t="shared" si="61"/>
        <v>#VALUE!</v>
      </c>
    </row>
    <row r="281" spans="1:41" x14ac:dyDescent="0.25">
      <c r="B281" s="109"/>
      <c r="F281" s="360">
        <f>F278-F280</f>
        <v>851224476.07017922</v>
      </c>
      <c r="G281" s="360">
        <f>G278-G280</f>
        <v>851785083.82017946</v>
      </c>
      <c r="H281" s="361" t="s">
        <v>534</v>
      </c>
      <c r="K281" s="86">
        <f>SUM(E120:E261)</f>
        <v>7617556271.1799994</v>
      </c>
      <c r="AF281" s="86">
        <v>2</v>
      </c>
    </row>
    <row r="282" spans="1:41" x14ac:dyDescent="0.25">
      <c r="A282" s="288"/>
      <c r="B282" s="110"/>
      <c r="D282" s="431" t="s">
        <v>389</v>
      </c>
      <c r="F282" s="360">
        <f>F281-45300</f>
        <v>851179176.07017922</v>
      </c>
      <c r="G282" s="360">
        <f>-F281+G281</f>
        <v>560607.75000023842</v>
      </c>
      <c r="H282" s="360"/>
      <c r="K282" s="86">
        <f>SUM(D120:D261)</f>
        <v>6186315403.1500015</v>
      </c>
      <c r="AF282" s="86">
        <v>3</v>
      </c>
    </row>
    <row r="283" spans="1:41" x14ac:dyDescent="0.25">
      <c r="A283" s="289"/>
      <c r="B283" s="94"/>
      <c r="C283" s="111"/>
      <c r="D283" s="112" t="s">
        <v>363</v>
      </c>
      <c r="F283" s="360"/>
      <c r="G283" s="360"/>
      <c r="H283" s="360"/>
      <c r="K283" s="86">
        <f>K281-K282</f>
        <v>1431240868.0299978</v>
      </c>
      <c r="M283" s="86">
        <f>E117</f>
        <v>0</v>
      </c>
      <c r="N283" s="86">
        <f>K283+M283</f>
        <v>1431240868.0299978</v>
      </c>
      <c r="AF283" s="86">
        <v>4</v>
      </c>
    </row>
    <row r="284" spans="1:41" s="114" customFormat="1" x14ac:dyDescent="0.25">
      <c r="A284" s="290"/>
      <c r="B284" s="110"/>
      <c r="C284" s="111"/>
      <c r="E284" s="86"/>
      <c r="F284" s="86"/>
      <c r="G284" s="86"/>
      <c r="H284" s="86"/>
      <c r="I284" s="86"/>
      <c r="J284" s="90"/>
      <c r="K284" s="115"/>
      <c r="M284" s="90"/>
      <c r="N284" s="90"/>
      <c r="S284" s="90"/>
      <c r="T284" s="90"/>
      <c r="U284" s="90"/>
      <c r="V284" s="90"/>
      <c r="Z284" s="90"/>
      <c r="AA284" s="90"/>
      <c r="AB284" s="90"/>
      <c r="AC284" s="90"/>
      <c r="AD284" s="90"/>
    </row>
    <row r="285" spans="1:41" s="116" customFormat="1" x14ac:dyDescent="0.25">
      <c r="A285" s="286"/>
      <c r="B285" s="106"/>
      <c r="C285" s="103"/>
      <c r="D285" s="97">
        <f>[23]x!$F$458</f>
        <v>8053582174.9799995</v>
      </c>
      <c r="E285" s="86">
        <f>[23]x!$G$458</f>
        <v>8053582174.9799995</v>
      </c>
      <c r="F285" s="86"/>
      <c r="G285" s="86"/>
      <c r="H285" s="86"/>
      <c r="I285" s="86"/>
      <c r="J285" s="86"/>
      <c r="K285" s="85"/>
      <c r="M285" s="86"/>
      <c r="N285" s="86"/>
      <c r="S285" s="86"/>
      <c r="T285" s="86"/>
      <c r="U285" s="86"/>
      <c r="V285" s="86"/>
      <c r="Z285" s="86"/>
      <c r="AA285" s="86"/>
      <c r="AB285" s="86"/>
      <c r="AC285" s="86"/>
      <c r="AD285" s="86"/>
    </row>
    <row r="286" spans="1:41" s="116" customFormat="1" x14ac:dyDescent="0.25">
      <c r="A286" s="286"/>
      <c r="B286" s="106"/>
      <c r="C286" s="103"/>
      <c r="D286" s="86"/>
      <c r="E286" s="86"/>
      <c r="F286" s="86"/>
      <c r="G286" s="86">
        <f>F278-G278</f>
        <v>0</v>
      </c>
      <c r="H286" s="86"/>
      <c r="I286" s="86"/>
      <c r="J286" s="86"/>
      <c r="M286" s="86"/>
      <c r="N286" s="86"/>
      <c r="S286" s="86"/>
      <c r="T286" s="86"/>
      <c r="U286" s="86"/>
      <c r="V286" s="86"/>
      <c r="Z286" s="86"/>
      <c r="AA286" s="86"/>
      <c r="AB286" s="86"/>
      <c r="AC286" s="86"/>
      <c r="AD286" s="86"/>
    </row>
    <row r="290" spans="37:37" x14ac:dyDescent="0.25">
      <c r="AK290" s="86">
        <f>2384299.3-2278296.38</f>
        <v>106002.91999999993</v>
      </c>
    </row>
  </sheetData>
  <autoFilter ref="A10:AO271"/>
  <mergeCells count="9">
    <mergeCell ref="A7:A8"/>
    <mergeCell ref="F7:G7"/>
    <mergeCell ref="H7:I7"/>
    <mergeCell ref="A1:E1"/>
    <mergeCell ref="A2:E2"/>
    <mergeCell ref="A3:E3"/>
    <mergeCell ref="A4:E4"/>
    <mergeCell ref="A5:E5"/>
    <mergeCell ref="A6:E6"/>
  </mergeCells>
  <printOptions horizontalCentered="1"/>
  <pageMargins left="0.43307086614173229" right="0.43307086614173229" top="0.74803149606299213" bottom="0.39370078740157483" header="0.31496062992125984" footer="0.31496062992125984"/>
  <pageSetup paperSize="9" scale="61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15</vt:i4>
      </vt:variant>
    </vt:vector>
  </HeadingPairs>
  <TitlesOfParts>
    <vt:vector size="25" baseType="lpstr">
      <vt:lpstr>FC1SGE</vt:lpstr>
      <vt:lpstr>FC1SFP</vt:lpstr>
      <vt:lpstr>FC1CSFP</vt:lpstr>
      <vt:lpstr>FC1DIS</vt:lpstr>
      <vt:lpstr>FC1CIS</vt:lpstr>
      <vt:lpstr>tb control</vt:lpstr>
      <vt:lpstr>FC1-Pre TB 2024</vt:lpstr>
      <vt:lpstr>FC1-Post TB 2024</vt:lpstr>
      <vt:lpstr>Restated FC1-Pre TB 2023</vt:lpstr>
      <vt:lpstr>Restated FC1-Post TB 2023</vt:lpstr>
      <vt:lpstr>FC1CIS!Print_Area</vt:lpstr>
      <vt:lpstr>FC1CSFP!Print_Area</vt:lpstr>
      <vt:lpstr>FC1DIS!Print_Area</vt:lpstr>
      <vt:lpstr>'FC1-Post TB 2024'!Print_Area</vt:lpstr>
      <vt:lpstr>'FC1-Pre TB 2024'!Print_Area</vt:lpstr>
      <vt:lpstr>FC1SFP!Print_Area</vt:lpstr>
      <vt:lpstr>FC1SGE!Print_Area</vt:lpstr>
      <vt:lpstr>'Restated FC1-Post TB 2023'!Print_Area</vt:lpstr>
      <vt:lpstr>'Restated FC1-Pre TB 2023'!Print_Area</vt:lpstr>
      <vt:lpstr>'tb control'!Print_Area</vt:lpstr>
      <vt:lpstr>'FC1-Post TB 2024'!Print_Titles</vt:lpstr>
      <vt:lpstr>'FC1-Pre TB 2024'!Print_Titles</vt:lpstr>
      <vt:lpstr>'Restated FC1-Post TB 2023'!Print_Titles</vt:lpstr>
      <vt:lpstr>'Restated FC1-Pre TB 2023'!Print_Titles</vt:lpstr>
      <vt:lpstr>'tb control'!Print_Titles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Valene G. Miñoza</cp:lastModifiedBy>
  <cp:lastPrinted>2025-01-10T05:18:52Z</cp:lastPrinted>
  <dcterms:created xsi:type="dcterms:W3CDTF">2014-01-16T10:20:10Z</dcterms:created>
  <dcterms:modified xsi:type="dcterms:W3CDTF">2025-01-14T08:33:49Z</dcterms:modified>
</cp:coreProperties>
</file>