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pivotCache/pivotCacheDefinition8.xml" ContentType="application/vnd.openxmlformats-officedocument.spreadsheetml.pivotCacheDefinition+xml"/>
  <Override PartName="/xl/pivotCache/pivotCacheRecords8.xml" ContentType="application/vnd.openxmlformats-officedocument.spreadsheetml.pivotCacheRecords+xml"/>
  <Override PartName="/xl/pivotCache/pivotCacheDefinition9.xml" ContentType="application/vnd.openxmlformats-officedocument.spreadsheetml.pivotCacheDefinition+xml"/>
  <Override PartName="/xl/pivotCache/pivotCacheRecords9.xml" ContentType="application/vnd.openxmlformats-officedocument.spreadsheetml.pivotCacheRecords+xml"/>
  <Override PartName="/xl/pivotCache/pivotCacheDefinition10.xml" ContentType="application/vnd.openxmlformats-officedocument.spreadsheetml.pivotCacheDefinition+xml"/>
  <Override PartName="/xl/pivotCache/pivotCacheRecords10.xml" ContentType="application/vnd.openxmlformats-officedocument.spreadsheetml.pivotCacheRecords+xml"/>
  <Override PartName="/xl/pivotCache/pivotCacheDefinition11.xml" ContentType="application/vnd.openxmlformats-officedocument.spreadsheetml.pivotCacheDefinition+xml"/>
  <Override PartName="/xl/pivotCache/pivotCacheRecords11.xml" ContentType="application/vnd.openxmlformats-officedocument.spreadsheetml.pivotCacheRecords+xml"/>
  <Override PartName="/xl/pivotCache/pivotCacheDefinition12.xml" ContentType="application/vnd.openxmlformats-officedocument.spreadsheetml.pivotCacheDefinition+xml"/>
  <Override PartName="/xl/pivotCache/pivotCacheRecords12.xml" ContentType="application/vnd.openxmlformats-officedocument.spreadsheetml.pivotCacheRecords+xml"/>
  <Override PartName="/xl/pivotCache/pivotCacheDefinition13.xml" ContentType="application/vnd.openxmlformats-officedocument.spreadsheetml.pivotCacheDefinition+xml"/>
  <Override PartName="/xl/pivotCache/pivotCacheRecords13.xml" ContentType="application/vnd.openxmlformats-officedocument.spreadsheetml.pivotCacheRecords+xml"/>
  <Override PartName="/xl/pivotCache/pivotCacheDefinition14.xml" ContentType="application/vnd.openxmlformats-officedocument.spreadsheetml.pivotCacheDefinition+xml"/>
  <Override PartName="/xl/pivotCache/pivotCacheRecords14.xml" ContentType="application/vnd.openxmlformats-officedocument.spreadsheetml.pivotCacheRecords+xml"/>
  <Override PartName="/xl/pivotCache/pivotCacheDefinition15.xml" ContentType="application/vnd.openxmlformats-officedocument.spreadsheetml.pivotCacheDefinition+xml"/>
  <Override PartName="/xl/pivotCache/pivotCacheRecords15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pivotTables/pivotTable18.xml" ContentType="application/vnd.openxmlformats-officedocument.spreadsheetml.pivotTable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D:\VNG\2024 FINANCIAL REPORTS\FINANCIAL STATEMENTS 2024\12 DECEMBER 2024 FS\"/>
    </mc:Choice>
  </mc:AlternateContent>
  <bookViews>
    <workbookView xWindow="0" yWindow="0" windowWidth="28800" windowHeight="12435" firstSheet="3" activeTab="3"/>
  </bookViews>
  <sheets>
    <sheet name="CONSO BOAS 2023 (FC1,2,3,4,7)" sheetId="17" state="hidden" r:id="rId1"/>
    <sheet name="WORKING PAPER FC1" sheetId="11" state="hidden" r:id="rId2"/>
    <sheet name="FC2" sheetId="3" state="hidden" r:id="rId3"/>
    <sheet name="CONSO 2024 FC 1, 2, 3, 7" sheetId="18" r:id="rId4"/>
    <sheet name="FC1 2024" sheetId="7" r:id="rId5"/>
    <sheet name="FC 3 2024" sheetId="10" r:id="rId6"/>
    <sheet name=" FC 7 2024" sheetId="9" r:id="rId7"/>
    <sheet name="FC 4 DECEMBER" sheetId="4" state="hidden" r:id="rId8"/>
    <sheet name="FC 6 DECEMBER" sheetId="5" state="hidden" r:id="rId9"/>
    <sheet name=" FC 7 " sheetId="6" state="hidden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</externalReferences>
  <definedNames>
    <definedName name="_xlnm._FilterDatabase" localSheetId="6" hidden="1">' FC 7 2024'!$A$22:$T$22</definedName>
    <definedName name="_xlnm._FilterDatabase" localSheetId="3" hidden="1">'CONSO 2024 FC 1, 2, 3, 7'!$A$17:$X$143</definedName>
    <definedName name="_xlnm._FilterDatabase" localSheetId="0" hidden="1">'CONSO BOAS 2023 (FC1,2,3,4,7)'!$A$17:$X$175</definedName>
    <definedName name="_xlnm._FilterDatabase" localSheetId="4" hidden="1">'FC1 2024'!$A$17:$X$132</definedName>
    <definedName name="_xlnm._FilterDatabase" localSheetId="1" hidden="1">'WORKING PAPER FC1'!$I$19:$K$19</definedName>
    <definedName name="ALL_CHECKDATE" localSheetId="6">#REF!</definedName>
    <definedName name="ALL_CHECKDATE" localSheetId="3">#REF!</definedName>
    <definedName name="ALL_CHECKDATE" localSheetId="0">#REF!</definedName>
    <definedName name="ALL_CHECKDATE" localSheetId="5">#REF!</definedName>
    <definedName name="ALL_CHECKDATE" localSheetId="2">#REF!</definedName>
    <definedName name="ALL_CHECKDATE">#REF!</definedName>
    <definedName name="ALL_CYCLE" localSheetId="6">#REF!</definedName>
    <definedName name="ALL_CYCLE" localSheetId="3">#REF!</definedName>
    <definedName name="ALL_CYCLE" localSheetId="0">#REF!</definedName>
    <definedName name="ALL_CYCLE" localSheetId="5">#REF!</definedName>
    <definedName name="ALL_CYCLE" localSheetId="2">#REF!</definedName>
    <definedName name="ALL_CYCLE">#REF!</definedName>
    <definedName name="ALL_DISBURSED" localSheetId="6">#REF!</definedName>
    <definedName name="ALL_DISBURSED" localSheetId="3">#REF!</definedName>
    <definedName name="ALL_DISBURSED" localSheetId="0">#REF!</definedName>
    <definedName name="ALL_DISBURSED" localSheetId="5">#REF!</definedName>
    <definedName name="ALL_DISBURSED" localSheetId="2">#REF!</definedName>
    <definedName name="ALL_DISBURSED">#REF!</definedName>
    <definedName name="ALL_eRFRS" localSheetId="6">#REF!</definedName>
    <definedName name="ALL_eRFRS" localSheetId="3">#REF!</definedName>
    <definedName name="ALL_eRFRS" localSheetId="0">#REF!</definedName>
    <definedName name="ALL_eRFRS" localSheetId="5">#REF!</definedName>
    <definedName name="ALL_eRFRS" localSheetId="2">#REF!</definedName>
    <definedName name="ALL_eRFRS">#REF!</definedName>
    <definedName name="ALL_GRANT" localSheetId="6">#REF!</definedName>
    <definedName name="ALL_GRANT" localSheetId="3">#REF!</definedName>
    <definedName name="ALL_GRANT" localSheetId="0">#REF!</definedName>
    <definedName name="ALL_GRANT" localSheetId="5">#REF!</definedName>
    <definedName name="ALL_GRANT" localSheetId="2">#REF!</definedName>
    <definedName name="ALL_GRANT">#REF!</definedName>
    <definedName name="ALL_GROUP" localSheetId="6">#REF!</definedName>
    <definedName name="ALL_GROUP" localSheetId="3">#REF!</definedName>
    <definedName name="ALL_GROUP" localSheetId="0">#REF!</definedName>
    <definedName name="ALL_GROUP" localSheetId="5">#REF!</definedName>
    <definedName name="ALL_GROUP" localSheetId="2">#REF!</definedName>
    <definedName name="ALL_GROUP">#REF!</definedName>
    <definedName name="ALL_LCC" localSheetId="6">#REF!</definedName>
    <definedName name="ALL_LCC" localSheetId="3">#REF!</definedName>
    <definedName name="ALL_LCC" localSheetId="0">#REF!</definedName>
    <definedName name="ALL_LCC" localSheetId="5">#REF!</definedName>
    <definedName name="ALL_LCC" localSheetId="2">#REF!</definedName>
    <definedName name="ALL_LCC">#REF!</definedName>
    <definedName name="ALL_OBLIGATED" localSheetId="6">#REF!</definedName>
    <definedName name="ALL_OBLIGATED" localSheetId="3">#REF!</definedName>
    <definedName name="ALL_OBLIGATED" localSheetId="0">#REF!</definedName>
    <definedName name="ALL_OBLIGATED" localSheetId="5">#REF!</definedName>
    <definedName name="ALL_OBLIGATED" localSheetId="2">#REF!</definedName>
    <definedName name="ALL_OBLIGATED">#REF!</definedName>
    <definedName name="ALL_RFR_AMOUNT" localSheetId="6">#REF!</definedName>
    <definedName name="ALL_RFR_AMOUNT" localSheetId="3">#REF!</definedName>
    <definedName name="ALL_RFR_AMOUNT" localSheetId="0">#REF!</definedName>
    <definedName name="ALL_RFR_AMOUNT" localSheetId="5">#REF!</definedName>
    <definedName name="ALL_RFR_AMOUNT" localSheetId="2">#REF!</definedName>
    <definedName name="ALL_RFR_AMOUNT">#REF!</definedName>
    <definedName name="ALL_STATUS" localSheetId="6">#REF!</definedName>
    <definedName name="ALL_STATUS" localSheetId="3">#REF!</definedName>
    <definedName name="ALL_STATUS" localSheetId="0">#REF!</definedName>
    <definedName name="ALL_STATUS" localSheetId="5">#REF!</definedName>
    <definedName name="ALL_STATUS" localSheetId="2">#REF!</definedName>
    <definedName name="ALL_STATUS">#REF!</definedName>
    <definedName name="ALL_TPC" localSheetId="6">#REF!</definedName>
    <definedName name="ALL_TPC" localSheetId="3">#REF!</definedName>
    <definedName name="ALL_TPC" localSheetId="0">#REF!</definedName>
    <definedName name="ALL_TPC" localSheetId="5">#REF!</definedName>
    <definedName name="ALL_TPC" localSheetId="2">#REF!</definedName>
    <definedName name="ALL_TPC">#REF!</definedName>
    <definedName name="ALL_TRANCHE" localSheetId="6">#REF!</definedName>
    <definedName name="ALL_TRANCHE" localSheetId="3">#REF!</definedName>
    <definedName name="ALL_TRANCHE" localSheetId="0">#REF!</definedName>
    <definedName name="ALL_TRANCHE" localSheetId="5">#REF!</definedName>
    <definedName name="ALL_TRANCHE" localSheetId="2">#REF!</definedName>
    <definedName name="ALL_TRANCHE">#REF!</definedName>
    <definedName name="ALL_YEAR" localSheetId="6">#REF!</definedName>
    <definedName name="ALL_YEAR" localSheetId="3">#REF!</definedName>
    <definedName name="ALL_YEAR" localSheetId="0">#REF!</definedName>
    <definedName name="ALL_YEAR" localSheetId="5">#REF!</definedName>
    <definedName name="ALL_YEAR" localSheetId="2">#REF!</definedName>
    <definedName name="ALL_YEAR">#REF!</definedName>
    <definedName name="ARMM" localSheetId="9">#REF!</definedName>
    <definedName name="ARMM" localSheetId="6">#REF!</definedName>
    <definedName name="ARMM" localSheetId="3">#REF!</definedName>
    <definedName name="ARMM" localSheetId="0">#REF!</definedName>
    <definedName name="ARMM" localSheetId="5">#REF!</definedName>
    <definedName name="ARMM" localSheetId="4">#REF!</definedName>
    <definedName name="ARMM" localSheetId="2">#REF!</definedName>
    <definedName name="ARMM">#REF!</definedName>
    <definedName name="CAR" localSheetId="9">#REF!</definedName>
    <definedName name="CAR" localSheetId="6">#REF!</definedName>
    <definedName name="CAR" localSheetId="3">#REF!</definedName>
    <definedName name="CAR" localSheetId="0">#REF!</definedName>
    <definedName name="CAR" localSheetId="5">#REF!</definedName>
    <definedName name="CAR" localSheetId="4">#REF!</definedName>
    <definedName name="CAR" localSheetId="2">#REF!</definedName>
    <definedName name="CAR">#REF!</definedName>
    <definedName name="CARAGA" localSheetId="9">#REF!</definedName>
    <definedName name="CARAGA" localSheetId="6">#REF!</definedName>
    <definedName name="CARAGA" localSheetId="3">#REF!</definedName>
    <definedName name="CARAGA" localSheetId="0">#REF!</definedName>
    <definedName name="CARAGA" localSheetId="5">#REF!</definedName>
    <definedName name="CARAGA" localSheetId="4">#REF!</definedName>
    <definedName name="CARAGA" localSheetId="2">#REF!</definedName>
    <definedName name="CARAGA">#REF!</definedName>
    <definedName name="cdo" localSheetId="9">#REF!</definedName>
    <definedName name="cdo" localSheetId="6">#REF!</definedName>
    <definedName name="cdo" localSheetId="3">#REF!</definedName>
    <definedName name="cdo" localSheetId="0">#REF!</definedName>
    <definedName name="cdo" localSheetId="5">#REF!</definedName>
    <definedName name="cdo" localSheetId="4">#REF!</definedName>
    <definedName name="cdo" localSheetId="2">#REF!</definedName>
    <definedName name="cdo">#REF!</definedName>
    <definedName name="CO" localSheetId="9">#REF!</definedName>
    <definedName name="CO" localSheetId="6">#REF!</definedName>
    <definedName name="CO" localSheetId="3">#REF!</definedName>
    <definedName name="CO" localSheetId="0">#REF!</definedName>
    <definedName name="CO" localSheetId="5">#REF!</definedName>
    <definedName name="CO" localSheetId="4">#REF!</definedName>
    <definedName name="CO" localSheetId="2">#REF!</definedName>
    <definedName name="CO">#REF!</definedName>
    <definedName name="CYCLE">[1]Reference!$G$2:$G$5</definedName>
    <definedName name="DOSE" localSheetId="9">#REF!</definedName>
    <definedName name="DOSE" localSheetId="6">#REF!</definedName>
    <definedName name="DOSE" localSheetId="3">#REF!</definedName>
    <definedName name="DOSE" localSheetId="0">#REF!</definedName>
    <definedName name="DOSE" localSheetId="5">#REF!</definedName>
    <definedName name="DOSE" localSheetId="4">#REF!</definedName>
    <definedName name="DOSE" localSheetId="2">#REF!</definedName>
    <definedName name="DOSE">#REF!</definedName>
    <definedName name="eRFRS">[1]Reference!$E$2:$E$3</definedName>
    <definedName name="Excel_BuiltIn__FilterDatabase_1" localSheetId="3">'[2]DBASE.DISB GOP'!$A$12:$IV$316</definedName>
    <definedName name="Excel_BuiltIn__FilterDatabase_1" localSheetId="0">'[2]DBASE.DISB GOP'!$A$12:$IV$316</definedName>
    <definedName name="Excel_BuiltIn__FilterDatabase_1" localSheetId="4">'[2]DBASE.DISB GOP'!$A$12:$IV$316</definedName>
    <definedName name="Excel_BuiltIn__FilterDatabase_1" localSheetId="2">'[3]DBASE.DISB GOP'!$A$12:$IV$316</definedName>
    <definedName name="Excel_BuiltIn__FilterDatabase_1">'[3]DBASE.DISB GOP'!$A$12:$IV$316</definedName>
    <definedName name="Excel_BuiltIn__FilterDatabase_2" localSheetId="9">#REF!</definedName>
    <definedName name="Excel_BuiltIn__FilterDatabase_2" localSheetId="6">#REF!</definedName>
    <definedName name="Excel_BuiltIn__FilterDatabase_2" localSheetId="3">#REF!</definedName>
    <definedName name="Excel_BuiltIn__FilterDatabase_2" localSheetId="0">#REF!</definedName>
    <definedName name="Excel_BuiltIn__FilterDatabase_2" localSheetId="5">#REF!</definedName>
    <definedName name="Excel_BuiltIn__FilterDatabase_2" localSheetId="4">#REF!</definedName>
    <definedName name="Excel_BuiltIn__FilterDatabase_2" localSheetId="2">#REF!</definedName>
    <definedName name="Excel_BuiltIn__FilterDatabase_2">#REF!</definedName>
    <definedName name="FIVE" localSheetId="9">#REF!</definedName>
    <definedName name="FIVE" localSheetId="6">#REF!</definedName>
    <definedName name="FIVE" localSheetId="3">#REF!</definedName>
    <definedName name="FIVE" localSheetId="0">#REF!</definedName>
    <definedName name="FIVE" localSheetId="5">#REF!</definedName>
    <definedName name="FIVE" localSheetId="4">#REF!</definedName>
    <definedName name="FIVE" localSheetId="2">#REF!</definedName>
    <definedName name="FIVE">#REF!</definedName>
    <definedName name="FOUR" localSheetId="9">#REF!</definedName>
    <definedName name="FOUR" localSheetId="6">#REF!</definedName>
    <definedName name="FOUR" localSheetId="3">#REF!</definedName>
    <definedName name="FOUR" localSheetId="0">#REF!</definedName>
    <definedName name="FOUR" localSheetId="5">#REF!</definedName>
    <definedName name="FOUR" localSheetId="4">#REF!</definedName>
    <definedName name="FOUR" localSheetId="2">#REF!</definedName>
    <definedName name="FOUR">#REF!</definedName>
    <definedName name="FUND_SOURCE">[1]Reference!$A$2:$A$3</definedName>
    <definedName name="GROUP">[1]Reference!$B$2:$B$4</definedName>
    <definedName name="MUNIS">[1]Reference!$D$2:$D$73</definedName>
    <definedName name="NamedRange1" localSheetId="6">#REF!</definedName>
    <definedName name="NamedRange1" localSheetId="3">#REF!</definedName>
    <definedName name="NamedRange1" localSheetId="0">#REF!</definedName>
    <definedName name="NamedRange1" localSheetId="5">#REF!</definedName>
    <definedName name="NamedRange1" localSheetId="2">#REF!</definedName>
    <definedName name="NamedRange1">#REF!</definedName>
    <definedName name="NamedRange2" localSheetId="6">#REF!</definedName>
    <definedName name="NamedRange2" localSheetId="3">#REF!</definedName>
    <definedName name="NamedRange2" localSheetId="0">#REF!</definedName>
    <definedName name="NamedRange2" localSheetId="5">#REF!</definedName>
    <definedName name="NamedRange2" localSheetId="2">#REF!</definedName>
    <definedName name="NamedRange2">#REF!</definedName>
    <definedName name="NamedRange4" localSheetId="6">#REF!</definedName>
    <definedName name="NamedRange4" localSheetId="3">#REF!</definedName>
    <definedName name="NamedRange4" localSheetId="0">#REF!</definedName>
    <definedName name="NamedRange4" localSheetId="5">#REF!</definedName>
    <definedName name="NamedRange4" localSheetId="2">#REF!</definedName>
    <definedName name="NamedRange4">#REF!</definedName>
    <definedName name="NCR" localSheetId="9">#REF!</definedName>
    <definedName name="NCR" localSheetId="6">#REF!</definedName>
    <definedName name="NCR" localSheetId="3">#REF!</definedName>
    <definedName name="NCR" localSheetId="0">#REF!</definedName>
    <definedName name="NCR" localSheetId="5">#REF!</definedName>
    <definedName name="NCR" localSheetId="4">#REF!</definedName>
    <definedName name="NCR" localSheetId="2">#REF!</definedName>
    <definedName name="NCR">#REF!</definedName>
    <definedName name="NINE" localSheetId="9">#REF!</definedName>
    <definedName name="NINE" localSheetId="6">#REF!</definedName>
    <definedName name="NINE" localSheetId="3">#REF!</definedName>
    <definedName name="NINE" localSheetId="0">#REF!</definedName>
    <definedName name="NINE" localSheetId="5">#REF!</definedName>
    <definedName name="NINE" localSheetId="4">#REF!</definedName>
    <definedName name="NINE" localSheetId="2">#REF!</definedName>
    <definedName name="NINE">#REF!</definedName>
    <definedName name="o" localSheetId="9">#REF!</definedName>
    <definedName name="o" localSheetId="6">#REF!</definedName>
    <definedName name="o" localSheetId="3">#REF!</definedName>
    <definedName name="o" localSheetId="0">#REF!</definedName>
    <definedName name="o" localSheetId="5">#REF!</definedName>
    <definedName name="o" localSheetId="4">#REF!</definedName>
    <definedName name="o" localSheetId="2">#REF!</definedName>
    <definedName name="o">#REF!</definedName>
    <definedName name="ONE" localSheetId="9">#REF!</definedName>
    <definedName name="ONE" localSheetId="6">#REF!</definedName>
    <definedName name="ONE" localSheetId="3">#REF!</definedName>
    <definedName name="ONE" localSheetId="0">#REF!</definedName>
    <definedName name="ONE" localSheetId="5">#REF!</definedName>
    <definedName name="ONE" localSheetId="4">#REF!</definedName>
    <definedName name="ONE" localSheetId="2">#REF!</definedName>
    <definedName name="ONE">#REF!</definedName>
    <definedName name="ONSE" localSheetId="9">#REF!</definedName>
    <definedName name="ONSE" localSheetId="6">#REF!</definedName>
    <definedName name="ONSE" localSheetId="3">#REF!</definedName>
    <definedName name="ONSE" localSheetId="0">#REF!</definedName>
    <definedName name="ONSE" localSheetId="5">#REF!</definedName>
    <definedName name="ONSE" localSheetId="4">#REF!</definedName>
    <definedName name="ONSE" localSheetId="2">#REF!</definedName>
    <definedName name="ONSE">#REF!</definedName>
    <definedName name="OTSO" localSheetId="9">#REF!</definedName>
    <definedName name="OTSO" localSheetId="6">#REF!</definedName>
    <definedName name="OTSO" localSheetId="3">#REF!</definedName>
    <definedName name="OTSO" localSheetId="0">#REF!</definedName>
    <definedName name="OTSO" localSheetId="5">#REF!</definedName>
    <definedName name="OTSO" localSheetId="4">#REF!</definedName>
    <definedName name="OTSO" localSheetId="2">#REF!</definedName>
    <definedName name="OTSO">#REF!</definedName>
    <definedName name="_xlnm.Print_Area" localSheetId="9">' FC 7 '!$A$1:$P$51</definedName>
    <definedName name="_xlnm.Print_Area" localSheetId="6">' FC 7 2024'!$A$1:$P$65</definedName>
    <definedName name="_xlnm.Print_Area" localSheetId="3">'CONSO 2024 FC 1, 2, 3, 7'!$A$1:$S$147</definedName>
    <definedName name="_xlnm.Print_Area" localSheetId="0">'CONSO BOAS 2023 (FC1,2,3,4,7)'!$A$1:$S$179</definedName>
    <definedName name="_xlnm.Print_Area" localSheetId="5">'FC 3 2024'!$A$1:$Q$52</definedName>
    <definedName name="_xlnm.Print_Area" localSheetId="7">'FC 4 DECEMBER'!$A$1:$Q$54</definedName>
    <definedName name="_xlnm.Print_Area" localSheetId="8">'FC 6 DECEMBER'!$A$1:$Q$46</definedName>
    <definedName name="_xlnm.Print_Area" localSheetId="4">'FC1 2024'!$A$1:$S$136</definedName>
    <definedName name="_xlnm.Print_Area" localSheetId="2">'FC2'!$A$1:$Q$64</definedName>
    <definedName name="Print_Area_1" localSheetId="3">'[2]DBASE.DISB GOP'!$K$12:$K$316</definedName>
    <definedName name="Print_Area_1" localSheetId="0">'[2]DBASE.DISB GOP'!$K$12:$K$316</definedName>
    <definedName name="Print_Area_1" localSheetId="4">'[2]DBASE.DISB GOP'!$K$12:$K$316</definedName>
    <definedName name="Print_Area_1" localSheetId="2">'[3]DBASE.DISB GOP'!$K$12:$K$316</definedName>
    <definedName name="Print_Area_1">'[3]DBASE.DISB GOP'!$K$12:$K$316</definedName>
    <definedName name="Print_Area_2" localSheetId="9">#REF!</definedName>
    <definedName name="Print_Area_2" localSheetId="6">#REF!</definedName>
    <definedName name="Print_Area_2" localSheetId="3">#REF!</definedName>
    <definedName name="Print_Area_2" localSheetId="0">#REF!</definedName>
    <definedName name="Print_Area_2" localSheetId="5">#REF!</definedName>
    <definedName name="Print_Area_2" localSheetId="4">#REF!</definedName>
    <definedName name="Print_Area_2" localSheetId="2">#REF!</definedName>
    <definedName name="Print_Area_2">#REF!</definedName>
    <definedName name="_xlnm.Print_Titles" localSheetId="3">'CONSO 2024 FC 1, 2, 3, 7'!$6:$8</definedName>
    <definedName name="_xlnm.Print_Titles" localSheetId="0">'CONSO BOAS 2023 (FC1,2,3,4,7)'!$6:$8</definedName>
    <definedName name="_xlnm.Print_Titles" localSheetId="4">'FC1 2024'!$6:$8</definedName>
    <definedName name="Print_Titles_1" localSheetId="3">'[2]DBASE.DISB GOP'!$A$10:$IV$13</definedName>
    <definedName name="Print_Titles_1" localSheetId="0">'[2]DBASE.DISB GOP'!$A$10:$IV$13</definedName>
    <definedName name="Print_Titles_1" localSheetId="4">'[2]DBASE.DISB GOP'!$A$10:$IV$13</definedName>
    <definedName name="Print_Titles_1" localSheetId="2">'[3]DBASE.DISB GOP'!$A$10:$IV$13</definedName>
    <definedName name="Print_Titles_1">'[3]DBASE.DISB GOP'!$A$10:$IV$13</definedName>
    <definedName name="Print_Titles_2" localSheetId="9">#REF!</definedName>
    <definedName name="Print_Titles_2" localSheetId="6">#REF!</definedName>
    <definedName name="Print_Titles_2" localSheetId="3">#REF!</definedName>
    <definedName name="Print_Titles_2" localSheetId="0">#REF!</definedName>
    <definedName name="Print_Titles_2" localSheetId="5">#REF!</definedName>
    <definedName name="Print_Titles_2" localSheetId="4">#REF!</definedName>
    <definedName name="Print_Titles_2" localSheetId="2">#REF!</definedName>
    <definedName name="Print_Titles_2">#REF!</definedName>
    <definedName name="printing" localSheetId="9">#REF!</definedName>
    <definedName name="printing" localSheetId="6">#REF!</definedName>
    <definedName name="printing" localSheetId="3">#REF!</definedName>
    <definedName name="printing" localSheetId="0">#REF!</definedName>
    <definedName name="printing" localSheetId="5">#REF!</definedName>
    <definedName name="printing" localSheetId="4">#REF!</definedName>
    <definedName name="printing" localSheetId="2">#REF!</definedName>
    <definedName name="printing">#REF!</definedName>
    <definedName name="printingdecember" localSheetId="9">#REF!</definedName>
    <definedName name="printingdecember" localSheetId="6">#REF!</definedName>
    <definedName name="printingdecember" localSheetId="3">#REF!</definedName>
    <definedName name="printingdecember" localSheetId="0">#REF!</definedName>
    <definedName name="printingdecember" localSheetId="5">#REF!</definedName>
    <definedName name="printingdecember" localSheetId="4">#REF!</definedName>
    <definedName name="printingdecember" localSheetId="2">#REF!</definedName>
    <definedName name="printingdecember">#REF!</definedName>
    <definedName name="PROVINCE">[1]Reference!$C$2:$C$6</definedName>
    <definedName name="QuarterResults" localSheetId="9">#REF!</definedName>
    <definedName name="QuarterResults" localSheetId="6">#REF!</definedName>
    <definedName name="QuarterResults" localSheetId="3">#REF!</definedName>
    <definedName name="QuarterResults" localSheetId="0">#REF!</definedName>
    <definedName name="QuarterResults" localSheetId="5">#REF!</definedName>
    <definedName name="QuarterResults" localSheetId="4">#REF!</definedName>
    <definedName name="QuarterResults" localSheetId="2">#REF!</definedName>
    <definedName name="QuarterResults">#REF!</definedName>
    <definedName name="RESPONSIBLE">[1]Reference!$J$2:$J$22</definedName>
    <definedName name="ROCO" localSheetId="9">#REF!</definedName>
    <definedName name="ROCO" localSheetId="6">#REF!</definedName>
    <definedName name="ROCO" localSheetId="3">#REF!</definedName>
    <definedName name="ROCO" localSheetId="0">#REF!</definedName>
    <definedName name="ROCO" localSheetId="5">#REF!</definedName>
    <definedName name="ROCO" localSheetId="4">#REF!</definedName>
    <definedName name="ROCO" localSheetId="2">#REF!</definedName>
    <definedName name="ROCO">#REF!</definedName>
    <definedName name="SEVEN" localSheetId="9">#REF!</definedName>
    <definedName name="SEVEN" localSheetId="6">#REF!</definedName>
    <definedName name="SEVEN" localSheetId="3">#REF!</definedName>
    <definedName name="SEVEN" localSheetId="0">#REF!</definedName>
    <definedName name="SEVEN" localSheetId="5">#REF!</definedName>
    <definedName name="SEVEN" localSheetId="4">#REF!</definedName>
    <definedName name="SEVEN" localSheetId="2">#REF!</definedName>
    <definedName name="SEVEN">#REF!</definedName>
    <definedName name="SIX" localSheetId="9">#REF!</definedName>
    <definedName name="SIX" localSheetId="6">#REF!</definedName>
    <definedName name="SIX" localSheetId="3">#REF!</definedName>
    <definedName name="SIX" localSheetId="0">#REF!</definedName>
    <definedName name="SIX" localSheetId="5">#REF!</definedName>
    <definedName name="SIX" localSheetId="4">#REF!</definedName>
    <definedName name="SIX" localSheetId="2">#REF!</definedName>
    <definedName name="SIX">#REF!</definedName>
    <definedName name="STATUS">[1]Reference!$I$2:$I$120</definedName>
    <definedName name="TAF_BRGY" localSheetId="6">#REF!</definedName>
    <definedName name="TAF_BRGY" localSheetId="3">#REF!</definedName>
    <definedName name="TAF_BRGY" localSheetId="0">#REF!</definedName>
    <definedName name="TAF_BRGY" localSheetId="5">#REF!</definedName>
    <definedName name="TAF_BRGY" localSheetId="2">#REF!</definedName>
    <definedName name="TAF_BRGY">#REF!</definedName>
    <definedName name="TAF_CHECKDATE" localSheetId="6">#REF!</definedName>
    <definedName name="TAF_CHECKDATE" localSheetId="3">#REF!</definedName>
    <definedName name="TAF_CHECKDATE" localSheetId="0">#REF!</definedName>
    <definedName name="TAF_CHECKDATE" localSheetId="5">#REF!</definedName>
    <definedName name="TAF_CHECKDATE" localSheetId="2">#REF!</definedName>
    <definedName name="TAF_CHECKDATE">#REF!</definedName>
    <definedName name="TAF_CYCLE" localSheetId="6">#REF!</definedName>
    <definedName name="TAF_CYCLE" localSheetId="3">#REF!</definedName>
    <definedName name="TAF_CYCLE" localSheetId="0">#REF!</definedName>
    <definedName name="TAF_CYCLE" localSheetId="5">#REF!</definedName>
    <definedName name="TAF_CYCLE" localSheetId="2">#REF!</definedName>
    <definedName name="TAF_CYCLE">#REF!</definedName>
    <definedName name="TAF_DISBURSED" localSheetId="6">#REF!</definedName>
    <definedName name="TAF_DISBURSED" localSheetId="3">#REF!</definedName>
    <definedName name="TAF_DISBURSED" localSheetId="0">#REF!</definedName>
    <definedName name="TAF_DISBURSED" localSheetId="5">#REF!</definedName>
    <definedName name="TAF_DISBURSED" localSheetId="2">#REF!</definedName>
    <definedName name="TAF_DISBURSED">#REF!</definedName>
    <definedName name="TAF_eRFRS" localSheetId="6">#REF!</definedName>
    <definedName name="TAF_eRFRS" localSheetId="3">#REF!</definedName>
    <definedName name="TAF_eRFRS" localSheetId="0">#REF!</definedName>
    <definedName name="TAF_eRFRS" localSheetId="5">#REF!</definedName>
    <definedName name="TAF_eRFRS" localSheetId="2">#REF!</definedName>
    <definedName name="TAF_eRFRS">#REF!</definedName>
    <definedName name="TAF_GRANT" localSheetId="6">#REF!</definedName>
    <definedName name="TAF_GRANT" localSheetId="3">#REF!</definedName>
    <definedName name="TAF_GRANT" localSheetId="0">#REF!</definedName>
    <definedName name="TAF_GRANT" localSheetId="5">#REF!</definedName>
    <definedName name="TAF_GRANT" localSheetId="2">#REF!</definedName>
    <definedName name="TAF_GRANT">#REF!</definedName>
    <definedName name="TAF_GROUP" localSheetId="6">#REF!</definedName>
    <definedName name="TAF_GROUP" localSheetId="3">#REF!</definedName>
    <definedName name="TAF_GROUP" localSheetId="0">#REF!</definedName>
    <definedName name="TAF_GROUP" localSheetId="5">#REF!</definedName>
    <definedName name="TAF_GROUP" localSheetId="2">#REF!</definedName>
    <definedName name="TAF_GROUP">#REF!</definedName>
    <definedName name="TAF_LCC" localSheetId="6">#REF!</definedName>
    <definedName name="TAF_LCC" localSheetId="3">#REF!</definedName>
    <definedName name="TAF_LCC" localSheetId="0">#REF!</definedName>
    <definedName name="TAF_LCC" localSheetId="5">#REF!</definedName>
    <definedName name="TAF_LCC" localSheetId="2">#REF!</definedName>
    <definedName name="TAF_LCC">#REF!</definedName>
    <definedName name="TAF_MUNIS" localSheetId="6">#REF!</definedName>
    <definedName name="TAF_MUNIS" localSheetId="3">#REF!</definedName>
    <definedName name="TAF_MUNIS" localSheetId="0">#REF!</definedName>
    <definedName name="TAF_MUNIS" localSheetId="5">#REF!</definedName>
    <definedName name="TAF_MUNIS" localSheetId="2">#REF!</definedName>
    <definedName name="TAF_MUNIS">#REF!</definedName>
    <definedName name="TAF_OBLIGATED" localSheetId="6">#REF!</definedName>
    <definedName name="TAF_OBLIGATED" localSheetId="3">#REF!</definedName>
    <definedName name="TAF_OBLIGATED" localSheetId="0">#REF!</definedName>
    <definedName name="TAF_OBLIGATED" localSheetId="5">#REF!</definedName>
    <definedName name="TAF_OBLIGATED" localSheetId="2">#REF!</definedName>
    <definedName name="TAF_OBLIGATED">#REF!</definedName>
    <definedName name="TAF_STATUS" localSheetId="6">#REF!</definedName>
    <definedName name="TAF_STATUS" localSheetId="3">#REF!</definedName>
    <definedName name="TAF_STATUS" localSheetId="0">#REF!</definedName>
    <definedName name="TAF_STATUS" localSheetId="5">#REF!</definedName>
    <definedName name="TAF_STATUS" localSheetId="2">#REF!</definedName>
    <definedName name="TAF_STATUS">#REF!</definedName>
    <definedName name="TAF_TAF_AMOUNT" localSheetId="6">#REF!</definedName>
    <definedName name="TAF_TAF_AMOUNT" localSheetId="3">#REF!</definedName>
    <definedName name="TAF_TAF_AMOUNT" localSheetId="0">#REF!</definedName>
    <definedName name="TAF_TAF_AMOUNT" localSheetId="5">#REF!</definedName>
    <definedName name="TAF_TAF_AMOUNT" localSheetId="2">#REF!</definedName>
    <definedName name="TAF_TAF_AMOUNT">#REF!</definedName>
    <definedName name="TAF_TPC" localSheetId="6">#REF!</definedName>
    <definedName name="TAF_TPC" localSheetId="3">#REF!</definedName>
    <definedName name="TAF_TPC" localSheetId="0">#REF!</definedName>
    <definedName name="TAF_TPC" localSheetId="5">#REF!</definedName>
    <definedName name="TAF_TPC" localSheetId="2">#REF!</definedName>
    <definedName name="TAF_TPC">#REF!</definedName>
    <definedName name="TAF_TRANCHE" localSheetId="6">#REF!</definedName>
    <definedName name="TAF_TRANCHE" localSheetId="3">#REF!</definedName>
    <definedName name="TAF_TRANCHE" localSheetId="0">#REF!</definedName>
    <definedName name="TAF_TRANCHE" localSheetId="5">#REF!</definedName>
    <definedName name="TAF_TRANCHE" localSheetId="2">#REF!</definedName>
    <definedName name="TAF_TRANCHE">#REF!</definedName>
    <definedName name="TAF_YEAR" localSheetId="6">#REF!</definedName>
    <definedName name="TAF_YEAR" localSheetId="3">#REF!</definedName>
    <definedName name="TAF_YEAR" localSheetId="0">#REF!</definedName>
    <definedName name="TAF_YEAR" localSheetId="5">#REF!</definedName>
    <definedName name="TAF_YEAR" localSheetId="2">#REF!</definedName>
    <definedName name="TAF_YEAR">#REF!</definedName>
    <definedName name="TEN" localSheetId="9">#REF!</definedName>
    <definedName name="TEN" localSheetId="6">#REF!</definedName>
    <definedName name="TEN" localSheetId="3">#REF!</definedName>
    <definedName name="TEN" localSheetId="0">#REF!</definedName>
    <definedName name="TEN" localSheetId="5">#REF!</definedName>
    <definedName name="TEN" localSheetId="4">#REF!</definedName>
    <definedName name="TEN" localSheetId="2">#REF!</definedName>
    <definedName name="TEN">#REF!</definedName>
    <definedName name="THREE" localSheetId="9">#REF!</definedName>
    <definedName name="THREE" localSheetId="6">#REF!</definedName>
    <definedName name="THREE" localSheetId="3">#REF!</definedName>
    <definedName name="THREE" localSheetId="0">#REF!</definedName>
    <definedName name="THREE" localSheetId="5">#REF!</definedName>
    <definedName name="THREE" localSheetId="4">#REF!</definedName>
    <definedName name="THREE" localSheetId="2">#REF!</definedName>
    <definedName name="THREE">#REF!</definedName>
    <definedName name="TRANCHE">[1]Reference!$F$2:$F$5</definedName>
    <definedName name="TWO" localSheetId="9">#REF!</definedName>
    <definedName name="TWO" localSheetId="6">#REF!</definedName>
    <definedName name="TWO" localSheetId="3">#REF!</definedName>
    <definedName name="TWO" localSheetId="0">#REF!</definedName>
    <definedName name="TWO" localSheetId="5">#REF!</definedName>
    <definedName name="TWO" localSheetId="4">#REF!</definedName>
    <definedName name="TWO" localSheetId="2">#REF!</definedName>
    <definedName name="TWO">#REF!</definedName>
    <definedName name="YEAR">[1]Reference!$H$2:$H$7</definedName>
  </definedNames>
  <calcPr calcId="152511"/>
  <pivotCaches>
    <pivotCache cacheId="15" r:id="rId48"/>
    <pivotCache cacheId="16" r:id="rId49"/>
    <pivotCache cacheId="17" r:id="rId50"/>
    <pivotCache cacheId="18" r:id="rId51"/>
    <pivotCache cacheId="19" r:id="rId52"/>
    <pivotCache cacheId="20" r:id="rId53"/>
    <pivotCache cacheId="21" r:id="rId54"/>
    <pivotCache cacheId="22" r:id="rId55"/>
    <pivotCache cacheId="23" r:id="rId56"/>
    <pivotCache cacheId="24" r:id="rId57"/>
    <pivotCache cacheId="25" r:id="rId58"/>
    <pivotCache cacheId="26" r:id="rId59"/>
    <pivotCache cacheId="27" r:id="rId60"/>
    <pivotCache cacheId="28" r:id="rId61"/>
    <pivotCache cacheId="29" r:id="rId62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2" i="18" l="1"/>
  <c r="K120" i="18"/>
  <c r="G119" i="18"/>
  <c r="G56" i="18" l="1"/>
  <c r="G27" i="18"/>
  <c r="G65" i="18"/>
  <c r="G58" i="18"/>
  <c r="G41" i="18"/>
  <c r="G72" i="18"/>
  <c r="P118" i="18"/>
  <c r="S118" i="18" s="1"/>
  <c r="Q117" i="18"/>
  <c r="G99" i="18" l="1"/>
  <c r="G101" i="18"/>
  <c r="A134" i="18" l="1"/>
  <c r="Q133" i="18"/>
  <c r="N132" i="18"/>
  <c r="P132" i="18" s="1"/>
  <c r="K132" i="18"/>
  <c r="N131" i="18"/>
  <c r="P131" i="18" s="1"/>
  <c r="K131" i="18"/>
  <c r="Q130" i="18"/>
  <c r="O129" i="18"/>
  <c r="Q129" i="18" s="1"/>
  <c r="K129" i="18"/>
  <c r="F129" i="18"/>
  <c r="O128" i="18"/>
  <c r="Q128" i="18" s="1"/>
  <c r="K128" i="18"/>
  <c r="F128" i="18"/>
  <c r="O127" i="18"/>
  <c r="Q127" i="18" s="1"/>
  <c r="K127" i="18"/>
  <c r="F127" i="18"/>
  <c r="O126" i="18"/>
  <c r="Q126" i="18" s="1"/>
  <c r="K126" i="18"/>
  <c r="F126" i="18"/>
  <c r="N125" i="18"/>
  <c r="Q125" i="18" s="1"/>
  <c r="O124" i="18"/>
  <c r="Q124" i="18" s="1"/>
  <c r="I124" i="18"/>
  <c r="K124" i="18" s="1"/>
  <c r="F124" i="18"/>
  <c r="O123" i="18"/>
  <c r="P123" i="18" s="1"/>
  <c r="F123" i="18"/>
  <c r="S122" i="18"/>
  <c r="P121" i="18"/>
  <c r="Q121" i="18"/>
  <c r="K121" i="18"/>
  <c r="P119" i="18"/>
  <c r="K119" i="18"/>
  <c r="O116" i="18"/>
  <c r="K116" i="18"/>
  <c r="G116" i="18"/>
  <c r="S116" i="18" s="1"/>
  <c r="Q115" i="18"/>
  <c r="P115" i="18"/>
  <c r="N115" i="18"/>
  <c r="K115" i="18"/>
  <c r="J115" i="18"/>
  <c r="K108" i="18"/>
  <c r="G108" i="18"/>
  <c r="O108" i="18" s="1"/>
  <c r="P108" i="18" s="1"/>
  <c r="S108" i="18" s="1"/>
  <c r="O107" i="18"/>
  <c r="P107" i="18" s="1"/>
  <c r="K107" i="18"/>
  <c r="O106" i="18"/>
  <c r="N106" i="18"/>
  <c r="K106" i="18"/>
  <c r="G105" i="18"/>
  <c r="N105" i="18" s="1"/>
  <c r="P105" i="18" s="1"/>
  <c r="G104" i="18"/>
  <c r="K104" i="18" s="1"/>
  <c r="K103" i="18"/>
  <c r="I103" i="18"/>
  <c r="O103" i="18" s="1"/>
  <c r="P103" i="18" s="1"/>
  <c r="G102" i="18"/>
  <c r="N102" i="18" s="1"/>
  <c r="P102" i="18" s="1"/>
  <c r="S102" i="18" s="1"/>
  <c r="Q101" i="18"/>
  <c r="I101" i="18"/>
  <c r="O101" i="18" s="1"/>
  <c r="P101" i="18" s="1"/>
  <c r="J98" i="18"/>
  <c r="K98" i="18" s="1"/>
  <c r="N97" i="18"/>
  <c r="Q97" i="18" s="1"/>
  <c r="J97" i="18"/>
  <c r="K97" i="18" s="1"/>
  <c r="J96" i="18"/>
  <c r="N96" i="18" s="1"/>
  <c r="Q96" i="18" s="1"/>
  <c r="J95" i="18"/>
  <c r="K95" i="18" s="1"/>
  <c r="J94" i="18"/>
  <c r="K94" i="18" s="1"/>
  <c r="J93" i="18"/>
  <c r="K93" i="18" s="1"/>
  <c r="J92" i="18"/>
  <c r="N92" i="18" s="1"/>
  <c r="Q92" i="18" s="1"/>
  <c r="S91" i="18"/>
  <c r="N91" i="18"/>
  <c r="Q91" i="18" s="1"/>
  <c r="K90" i="18"/>
  <c r="F89" i="18"/>
  <c r="O82" i="18"/>
  <c r="P82" i="18" s="1"/>
  <c r="S82" i="18" s="1"/>
  <c r="K81" i="18"/>
  <c r="G81" i="18"/>
  <c r="J81" i="18" s="1"/>
  <c r="O80" i="18"/>
  <c r="P80" i="18" s="1"/>
  <c r="I80" i="18"/>
  <c r="K80" i="18" s="1"/>
  <c r="K79" i="18"/>
  <c r="I79" i="18"/>
  <c r="O79" i="18" s="1"/>
  <c r="Q79" i="18" s="1"/>
  <c r="F79" i="18"/>
  <c r="D79" i="18"/>
  <c r="K78" i="18"/>
  <c r="I78" i="18"/>
  <c r="O78" i="18" s="1"/>
  <c r="P78" i="18" s="1"/>
  <c r="G77" i="18"/>
  <c r="K77" i="18" s="1"/>
  <c r="F77" i="18"/>
  <c r="D77" i="18"/>
  <c r="K76" i="18"/>
  <c r="I76" i="18"/>
  <c r="O76" i="18" s="1"/>
  <c r="P76" i="18" s="1"/>
  <c r="D76" i="18"/>
  <c r="K75" i="18"/>
  <c r="I75" i="18"/>
  <c r="O75" i="18" s="1"/>
  <c r="P75" i="18" s="1"/>
  <c r="K74" i="18"/>
  <c r="I74" i="18"/>
  <c r="O74" i="18" s="1"/>
  <c r="P74" i="18" s="1"/>
  <c r="F74" i="18"/>
  <c r="D74" i="18"/>
  <c r="K73" i="18"/>
  <c r="I73" i="18"/>
  <c r="O73" i="18" s="1"/>
  <c r="P73" i="18" s="1"/>
  <c r="F73" i="18"/>
  <c r="D73" i="18"/>
  <c r="K72" i="18"/>
  <c r="F72" i="18"/>
  <c r="D72" i="18"/>
  <c r="G71" i="18"/>
  <c r="K71" i="18" s="1"/>
  <c r="F71" i="18"/>
  <c r="D71" i="18"/>
  <c r="K70" i="18"/>
  <c r="I70" i="18"/>
  <c r="O70" i="18" s="1"/>
  <c r="P70" i="18" s="1"/>
  <c r="K69" i="18"/>
  <c r="I69" i="18"/>
  <c r="O69" i="18" s="1"/>
  <c r="P69" i="18" s="1"/>
  <c r="F69" i="18"/>
  <c r="D69" i="18"/>
  <c r="K68" i="18"/>
  <c r="I68" i="18"/>
  <c r="O68" i="18" s="1"/>
  <c r="P68" i="18" s="1"/>
  <c r="F68" i="18"/>
  <c r="D68" i="18"/>
  <c r="K67" i="18"/>
  <c r="I67" i="18"/>
  <c r="O67" i="18" s="1"/>
  <c r="P67" i="18" s="1"/>
  <c r="K66" i="18"/>
  <c r="I66" i="18"/>
  <c r="O66" i="18" s="1"/>
  <c r="P66" i="18" s="1"/>
  <c r="F66" i="18"/>
  <c r="D66" i="18"/>
  <c r="K65" i="18"/>
  <c r="I65" i="18"/>
  <c r="O65" i="18" s="1"/>
  <c r="Q65" i="18" s="1"/>
  <c r="F65" i="18"/>
  <c r="D65" i="18"/>
  <c r="K64" i="18"/>
  <c r="I64" i="18"/>
  <c r="O64" i="18" s="1"/>
  <c r="Q64" i="18" s="1"/>
  <c r="F64" i="18"/>
  <c r="D64" i="18"/>
  <c r="K63" i="18"/>
  <c r="I63" i="18"/>
  <c r="O63" i="18" s="1"/>
  <c r="Q63" i="18" s="1"/>
  <c r="F63" i="18"/>
  <c r="O62" i="18"/>
  <c r="Q62" i="18" s="1"/>
  <c r="K62" i="18"/>
  <c r="I62" i="18"/>
  <c r="F62" i="18"/>
  <c r="D62" i="18"/>
  <c r="K61" i="18"/>
  <c r="I61" i="18"/>
  <c r="O61" i="18" s="1"/>
  <c r="Q61" i="18" s="1"/>
  <c r="F61" i="18"/>
  <c r="D61" i="18"/>
  <c r="K60" i="18"/>
  <c r="I60" i="18"/>
  <c r="O60" i="18" s="1"/>
  <c r="P60" i="18" s="1"/>
  <c r="F60" i="18"/>
  <c r="D60" i="18"/>
  <c r="K59" i="18"/>
  <c r="I59" i="18"/>
  <c r="O59" i="18" s="1"/>
  <c r="Q59" i="18" s="1"/>
  <c r="F59" i="18"/>
  <c r="D59" i="18"/>
  <c r="N58" i="18"/>
  <c r="I58" i="18"/>
  <c r="K58" i="18" s="1"/>
  <c r="F58" i="18"/>
  <c r="D58" i="18"/>
  <c r="K57" i="18"/>
  <c r="I57" i="18"/>
  <c r="O57" i="18" s="1"/>
  <c r="Q57" i="18" s="1"/>
  <c r="F57" i="18"/>
  <c r="D57" i="18"/>
  <c r="N56" i="18"/>
  <c r="I56" i="18"/>
  <c r="F56" i="18"/>
  <c r="D56" i="18"/>
  <c r="K55" i="18"/>
  <c r="I55" i="18"/>
  <c r="O55" i="18" s="1"/>
  <c r="P55" i="18" s="1"/>
  <c r="K54" i="18"/>
  <c r="I54" i="18"/>
  <c r="O54" i="18" s="1"/>
  <c r="P54" i="18" s="1"/>
  <c r="F54" i="18"/>
  <c r="D54" i="18"/>
  <c r="K53" i="18"/>
  <c r="I53" i="18"/>
  <c r="O53" i="18" s="1"/>
  <c r="P53" i="18" s="1"/>
  <c r="F53" i="18"/>
  <c r="D53" i="18"/>
  <c r="K52" i="18"/>
  <c r="I52" i="18"/>
  <c r="O52" i="18" s="1"/>
  <c r="P52" i="18" s="1"/>
  <c r="F52" i="18"/>
  <c r="D52" i="18"/>
  <c r="K51" i="18"/>
  <c r="I51" i="18"/>
  <c r="O51" i="18" s="1"/>
  <c r="P51" i="18" s="1"/>
  <c r="K50" i="18"/>
  <c r="I50" i="18"/>
  <c r="O50" i="18" s="1"/>
  <c r="P50" i="18" s="1"/>
  <c r="F50" i="18"/>
  <c r="D50" i="18"/>
  <c r="G49" i="18"/>
  <c r="I49" i="18" s="1"/>
  <c r="O49" i="18" s="1"/>
  <c r="P49" i="18" s="1"/>
  <c r="F49" i="18"/>
  <c r="D49" i="18"/>
  <c r="K48" i="18"/>
  <c r="I48" i="18"/>
  <c r="O48" i="18" s="1"/>
  <c r="P48" i="18" s="1"/>
  <c r="F48" i="18"/>
  <c r="K47" i="18"/>
  <c r="O47" i="18" s="1"/>
  <c r="P47" i="18" s="1"/>
  <c r="I47" i="18"/>
  <c r="K46" i="18"/>
  <c r="O46" i="18" s="1"/>
  <c r="P46" i="18" s="1"/>
  <c r="I46" i="18"/>
  <c r="K45" i="18"/>
  <c r="I45" i="18"/>
  <c r="O45" i="18" s="1"/>
  <c r="P45" i="18" s="1"/>
  <c r="F45" i="18"/>
  <c r="K44" i="18"/>
  <c r="I44" i="18"/>
  <c r="O44" i="18" s="1"/>
  <c r="P44" i="18" s="1"/>
  <c r="D44" i="18"/>
  <c r="K43" i="18"/>
  <c r="I43" i="18"/>
  <c r="O43" i="18" s="1"/>
  <c r="Q43" i="18" s="1"/>
  <c r="F43" i="18"/>
  <c r="D43" i="18"/>
  <c r="K42" i="18"/>
  <c r="I42" i="18"/>
  <c r="O42" i="18" s="1"/>
  <c r="Q42" i="18" s="1"/>
  <c r="F42" i="18"/>
  <c r="D42" i="18"/>
  <c r="K41" i="18"/>
  <c r="I41" i="18"/>
  <c r="O41" i="18" s="1"/>
  <c r="Q41" i="18" s="1"/>
  <c r="F41" i="18"/>
  <c r="E41" i="18"/>
  <c r="D41" i="18"/>
  <c r="K40" i="18"/>
  <c r="I40" i="18"/>
  <c r="O40" i="18" s="1"/>
  <c r="Q40" i="18" s="1"/>
  <c r="F40" i="18"/>
  <c r="D40" i="18"/>
  <c r="K39" i="18"/>
  <c r="I39" i="18"/>
  <c r="O39" i="18" s="1"/>
  <c r="Q39" i="18" s="1"/>
  <c r="F39" i="18"/>
  <c r="D39" i="18"/>
  <c r="K38" i="18"/>
  <c r="I38" i="18"/>
  <c r="O38" i="18" s="1"/>
  <c r="P38" i="18" s="1"/>
  <c r="F38" i="18"/>
  <c r="D38" i="18"/>
  <c r="K37" i="18"/>
  <c r="I37" i="18"/>
  <c r="O37" i="18" s="1"/>
  <c r="Q37" i="18" s="1"/>
  <c r="F37" i="18"/>
  <c r="D37" i="18"/>
  <c r="G36" i="18"/>
  <c r="I36" i="18" s="1"/>
  <c r="K36" i="18" s="1"/>
  <c r="F36" i="18"/>
  <c r="D36" i="18"/>
  <c r="N35" i="18"/>
  <c r="I35" i="18"/>
  <c r="K35" i="18" s="1"/>
  <c r="F35" i="18"/>
  <c r="D35" i="18"/>
  <c r="G34" i="18"/>
  <c r="I34" i="18" s="1"/>
  <c r="K34" i="18" s="1"/>
  <c r="N33" i="18"/>
  <c r="I33" i="18"/>
  <c r="K33" i="18" s="1"/>
  <c r="G33" i="18"/>
  <c r="F33" i="18"/>
  <c r="D33" i="18"/>
  <c r="K32" i="18"/>
  <c r="I32" i="18"/>
  <c r="O32" i="18" s="1"/>
  <c r="P32" i="18" s="1"/>
  <c r="F32" i="18"/>
  <c r="K31" i="18"/>
  <c r="I31" i="18"/>
  <c r="O31" i="18" s="1"/>
  <c r="P31" i="18" s="1"/>
  <c r="F31" i="18"/>
  <c r="D31" i="18"/>
  <c r="G30" i="18"/>
  <c r="K30" i="18" s="1"/>
  <c r="D30" i="18"/>
  <c r="K29" i="18"/>
  <c r="I29" i="18"/>
  <c r="O29" i="18" s="1"/>
  <c r="Q29" i="18" s="1"/>
  <c r="F29" i="18"/>
  <c r="D29" i="18"/>
  <c r="K28" i="18"/>
  <c r="I28" i="18"/>
  <c r="O28" i="18" s="1"/>
  <c r="Q28" i="18" s="1"/>
  <c r="F28" i="18"/>
  <c r="D28" i="18"/>
  <c r="K27" i="18"/>
  <c r="F27" i="18"/>
  <c r="D27" i="18"/>
  <c r="N26" i="18"/>
  <c r="I26" i="18"/>
  <c r="K26" i="18" s="1"/>
  <c r="F26" i="18"/>
  <c r="D26" i="18"/>
  <c r="N25" i="18"/>
  <c r="I25" i="18"/>
  <c r="O25" i="18" s="1"/>
  <c r="F25" i="18"/>
  <c r="D25" i="18"/>
  <c r="P24" i="18"/>
  <c r="O24" i="18"/>
  <c r="P23" i="18"/>
  <c r="O23" i="18"/>
  <c r="P22" i="18"/>
  <c r="K22" i="18"/>
  <c r="I22" i="18"/>
  <c r="O22" i="18" s="1"/>
  <c r="K21" i="18"/>
  <c r="I21" i="18"/>
  <c r="O21" i="18" s="1"/>
  <c r="Q21" i="18" s="1"/>
  <c r="F21" i="18"/>
  <c r="D21" i="18"/>
  <c r="K20" i="18"/>
  <c r="I20" i="18"/>
  <c r="O20" i="18" s="1"/>
  <c r="Q20" i="18" s="1"/>
  <c r="F20" i="18"/>
  <c r="D20" i="18"/>
  <c r="K19" i="18"/>
  <c r="I19" i="18"/>
  <c r="O19" i="18" s="1"/>
  <c r="Q19" i="18" s="1"/>
  <c r="F19" i="18"/>
  <c r="D19" i="18"/>
  <c r="K18" i="18"/>
  <c r="I18" i="18"/>
  <c r="O18" i="18" s="1"/>
  <c r="Q18" i="18" s="1"/>
  <c r="F18" i="18"/>
  <c r="D18" i="18"/>
  <c r="G17" i="18"/>
  <c r="F17" i="18"/>
  <c r="D17" i="18"/>
  <c r="Q14" i="18"/>
  <c r="Q11" i="18" s="1"/>
  <c r="J14" i="18"/>
  <c r="J11" i="18" s="1"/>
  <c r="K11" i="18" s="1"/>
  <c r="K13" i="18"/>
  <c r="P11" i="18"/>
  <c r="G11" i="18"/>
  <c r="N93" i="18" l="1"/>
  <c r="P93" i="18" s="1"/>
  <c r="K96" i="18"/>
  <c r="O33" i="18"/>
  <c r="Q33" i="18" s="1"/>
  <c r="S134" i="18"/>
  <c r="S139" i="18" s="1"/>
  <c r="S140" i="18" s="1"/>
  <c r="O26" i="18"/>
  <c r="I27" i="18"/>
  <c r="O27" i="18" s="1"/>
  <c r="Q27" i="18" s="1"/>
  <c r="K56" i="18"/>
  <c r="O56" i="18"/>
  <c r="Q56" i="18" s="1"/>
  <c r="K92" i="18"/>
  <c r="K101" i="18"/>
  <c r="O36" i="18"/>
  <c r="P36" i="18" s="1"/>
  <c r="Q122" i="18"/>
  <c r="G15" i="18"/>
  <c r="I71" i="18"/>
  <c r="O71" i="18" s="1"/>
  <c r="Q71" i="18" s="1"/>
  <c r="Q25" i="18"/>
  <c r="K14" i="18"/>
  <c r="I72" i="18"/>
  <c r="O72" i="18" s="1"/>
  <c r="Q72" i="18" s="1"/>
  <c r="N95" i="18"/>
  <c r="Q95" i="18" s="1"/>
  <c r="N116" i="18"/>
  <c r="Q116" i="18" s="1"/>
  <c r="O58" i="18"/>
  <c r="Q58" i="18" s="1"/>
  <c r="P106" i="18"/>
  <c r="I77" i="18"/>
  <c r="O77" i="18" s="1"/>
  <c r="P77" i="18" s="1"/>
  <c r="N81" i="18"/>
  <c r="P81" i="18" s="1"/>
  <c r="K17" i="18"/>
  <c r="Q26" i="18"/>
  <c r="O34" i="18"/>
  <c r="P34" i="18" s="1"/>
  <c r="N94" i="18"/>
  <c r="Q94" i="18" s="1"/>
  <c r="N98" i="18"/>
  <c r="Q98" i="18" s="1"/>
  <c r="I104" i="18"/>
  <c r="O104" i="18" s="1"/>
  <c r="P104" i="18" s="1"/>
  <c r="K25" i="18"/>
  <c r="I30" i="18"/>
  <c r="O30" i="18" s="1"/>
  <c r="Q30" i="18" s="1"/>
  <c r="K49" i="18"/>
  <c r="J105" i="18"/>
  <c r="J15" i="18" s="1"/>
  <c r="I17" i="18"/>
  <c r="O35" i="18"/>
  <c r="P35" i="18" s="1"/>
  <c r="K105" i="18"/>
  <c r="P81" i="7"/>
  <c r="N81" i="7"/>
  <c r="J81" i="7"/>
  <c r="G81" i="7"/>
  <c r="P15" i="18" l="1"/>
  <c r="P134" i="18" s="1"/>
  <c r="P137" i="18" s="1"/>
  <c r="N15" i="18"/>
  <c r="K15" i="18"/>
  <c r="K134" i="18" s="1"/>
  <c r="I15" i="18"/>
  <c r="O17" i="18"/>
  <c r="G77" i="7"/>
  <c r="O15" i="18" l="1"/>
  <c r="Q17" i="18"/>
  <c r="Q15" i="18" s="1"/>
  <c r="Q134" i="18" s="1"/>
  <c r="P138" i="18" s="1"/>
  <c r="Q140" i="18" s="1"/>
  <c r="G36" i="7"/>
  <c r="M26" i="9" l="1"/>
  <c r="M27" i="9"/>
  <c r="M25" i="9"/>
  <c r="L27" i="9"/>
  <c r="L26" i="9"/>
  <c r="L25" i="9"/>
  <c r="G27" i="9"/>
  <c r="I27" i="9" s="1"/>
  <c r="G26" i="9"/>
  <c r="I26" i="9" s="1"/>
  <c r="G25" i="9"/>
  <c r="I25" i="9" s="1"/>
  <c r="N105" i="7" l="1"/>
  <c r="G95" i="7"/>
  <c r="G30" i="7" l="1"/>
  <c r="G105" i="7" l="1"/>
  <c r="E36" i="9" l="1"/>
  <c r="L30" i="10" l="1"/>
  <c r="L35" i="10" s="1"/>
  <c r="F30" i="10"/>
  <c r="E37" i="9" l="1"/>
  <c r="G94" i="7" l="1"/>
  <c r="G17" i="7" l="1"/>
  <c r="G101" i="7" l="1"/>
  <c r="I94" i="7" l="1"/>
  <c r="S105" i="7" l="1"/>
  <c r="Q105" i="7" l="1"/>
  <c r="I40" i="9" l="1"/>
  <c r="I39" i="9"/>
  <c r="I38" i="9"/>
  <c r="N40" i="9"/>
  <c r="N39" i="9"/>
  <c r="N38" i="9"/>
  <c r="O94" i="7" l="1"/>
  <c r="Q94" i="7" l="1"/>
  <c r="P94" i="7"/>
  <c r="G72" i="7" l="1"/>
  <c r="G27" i="7"/>
  <c r="G49" i="7"/>
  <c r="BD2" i="11" l="1"/>
  <c r="B3" i="9" l="1"/>
  <c r="G97" i="7" l="1"/>
  <c r="AZ19" i="11"/>
  <c r="AZ10" i="11"/>
  <c r="G71" i="7" l="1"/>
  <c r="A35" i="10" l="1"/>
  <c r="A123" i="7" s="1"/>
  <c r="G33" i="7" l="1"/>
  <c r="G34" i="7"/>
  <c r="G56" i="7" l="1"/>
  <c r="G98" i="7" l="1"/>
  <c r="AV3" i="11" l="1"/>
  <c r="J104" i="7" l="1"/>
  <c r="N95" i="7" l="1"/>
  <c r="P95" i="7" s="1"/>
  <c r="S95" i="7" s="1"/>
  <c r="AO51" i="11" l="1"/>
  <c r="AO54" i="11" l="1"/>
  <c r="E23" i="9" l="1"/>
  <c r="E17" i="9" s="1"/>
  <c r="M23" i="9" l="1"/>
  <c r="O23" i="9" s="1"/>
  <c r="AO11" i="11"/>
  <c r="AO8" i="11" l="1"/>
  <c r="P22" i="7" l="1"/>
  <c r="K22" i="7"/>
  <c r="I22" i="7"/>
  <c r="O22" i="7" s="1"/>
  <c r="AO7" i="11"/>
  <c r="AI55" i="11" l="1"/>
  <c r="N104" i="7" l="1"/>
  <c r="AH29" i="11"/>
  <c r="AH48" i="11"/>
  <c r="AH47" i="11"/>
  <c r="AI29" i="11" l="1"/>
  <c r="AI7" i="11"/>
  <c r="AH37" i="11" l="1"/>
  <c r="AI19" i="11" l="1"/>
  <c r="AH19" i="11"/>
  <c r="AK27" i="11"/>
  <c r="AI11" i="11" l="1"/>
  <c r="AH11" i="11"/>
  <c r="AK17" i="11"/>
  <c r="AH9" i="11" l="1"/>
  <c r="T10" i="11" l="1"/>
  <c r="W13" i="11"/>
  <c r="Y31" i="11"/>
  <c r="V8" i="11" l="1"/>
  <c r="V31" i="11"/>
  <c r="L36" i="9" l="1"/>
  <c r="M36" i="9" s="1"/>
  <c r="O36" i="9" s="1"/>
  <c r="S85" i="7" l="1"/>
  <c r="N85" i="7" l="1"/>
  <c r="Q85" i="7" s="1"/>
  <c r="P24" i="7"/>
  <c r="O24" i="7"/>
  <c r="P23" i="7"/>
  <c r="O23" i="7"/>
  <c r="K70" i="7"/>
  <c r="I70" i="7"/>
  <c r="O70" i="7" s="1"/>
  <c r="P70" i="7" s="1"/>
  <c r="T123" i="11" l="1"/>
  <c r="V7" i="11" l="1"/>
  <c r="V103" i="11" s="1"/>
  <c r="T107" i="11" l="1"/>
  <c r="V104" i="11" s="1"/>
  <c r="V105" i="11" s="1"/>
  <c r="V3" i="11" l="1"/>
  <c r="V2" i="11" l="1"/>
  <c r="N24" i="9" l="1"/>
  <c r="I24" i="9"/>
  <c r="G22" i="9" l="1"/>
  <c r="L22" i="9" l="1"/>
  <c r="M22" i="9" s="1"/>
  <c r="O37" i="9" l="1"/>
  <c r="J92" i="7" l="1"/>
  <c r="J91" i="7"/>
  <c r="N91" i="7" s="1"/>
  <c r="Q91" i="7" s="1"/>
  <c r="J90" i="7"/>
  <c r="J89" i="7"/>
  <c r="J86" i="7"/>
  <c r="N135" i="11"/>
  <c r="K86" i="7" l="1"/>
  <c r="K89" i="7"/>
  <c r="N90" i="7"/>
  <c r="Q90" i="7" s="1"/>
  <c r="K92" i="7"/>
  <c r="N92" i="7"/>
  <c r="K90" i="7"/>
  <c r="K91" i="7"/>
  <c r="N89" i="7"/>
  <c r="Q89" i="7" s="1"/>
  <c r="N86" i="7"/>
  <c r="Q86" i="7" s="1"/>
  <c r="Q92" i="7" l="1"/>
  <c r="E11" i="9"/>
  <c r="E52" i="9" s="1"/>
  <c r="E53" i="9" s="1"/>
  <c r="L23" i="9"/>
  <c r="K78" i="7" l="1"/>
  <c r="I78" i="7" l="1"/>
  <c r="I22" i="9"/>
  <c r="H17" i="9"/>
  <c r="I19" i="9"/>
  <c r="G17" i="9"/>
  <c r="O78" i="7" l="1"/>
  <c r="K17" i="9"/>
  <c r="N46" i="9"/>
  <c r="P78" i="7" l="1"/>
  <c r="L17" i="9"/>
  <c r="M17" i="9"/>
  <c r="O2" i="11" l="1"/>
  <c r="L98" i="11" l="1"/>
  <c r="N98" i="7" l="1"/>
  <c r="P98" i="7" s="1"/>
  <c r="J98" i="7"/>
  <c r="K98" i="7"/>
  <c r="L97" i="11"/>
  <c r="L10" i="11"/>
  <c r="L6" i="11" l="1"/>
  <c r="L7" i="11"/>
  <c r="L101" i="11" s="1"/>
  <c r="L2" i="11"/>
  <c r="N112" i="11"/>
  <c r="L8" i="11" l="1"/>
  <c r="G91" i="11" l="1"/>
  <c r="G92" i="11"/>
  <c r="K47" i="7" l="1"/>
  <c r="O47" i="7" s="1"/>
  <c r="I47" i="7"/>
  <c r="I51" i="7"/>
  <c r="K51" i="7"/>
  <c r="G88" i="11"/>
  <c r="G89" i="11"/>
  <c r="O51" i="7" l="1"/>
  <c r="P51" i="7" s="1"/>
  <c r="G83" i="11"/>
  <c r="G81" i="11"/>
  <c r="J89" i="11"/>
  <c r="H81" i="11" l="1"/>
  <c r="G73" i="11" l="1"/>
  <c r="G72" i="11" l="1"/>
  <c r="H73" i="11"/>
  <c r="J81" i="11"/>
  <c r="J79" i="11"/>
  <c r="G44" i="11" l="1"/>
  <c r="G9" i="11" l="1"/>
  <c r="I22" i="11"/>
  <c r="G2" i="11" l="1"/>
  <c r="G6" i="11"/>
  <c r="H6" i="11" s="1"/>
  <c r="G4" i="11"/>
  <c r="G3" i="11"/>
  <c r="I52" i="11"/>
  <c r="H3" i="11" l="1"/>
  <c r="G7" i="11"/>
  <c r="G8" i="11" s="1"/>
  <c r="H2" i="11"/>
  <c r="P47" i="7" l="1"/>
  <c r="I46" i="7" l="1"/>
  <c r="K46" i="7"/>
  <c r="O46" i="7" s="1"/>
  <c r="B87" i="11"/>
  <c r="B86" i="11" s="1"/>
  <c r="C87" i="11"/>
  <c r="C6" i="11" l="1"/>
  <c r="C86" i="11"/>
  <c r="D41" i="11"/>
  <c r="E41" i="11" s="1"/>
  <c r="B42" i="11" l="1"/>
  <c r="C3" i="11" s="1"/>
  <c r="D9" i="11" l="1"/>
  <c r="C2" i="11" s="1"/>
  <c r="B9" i="11"/>
  <c r="B7" i="11" l="1"/>
  <c r="Q119" i="7" l="1"/>
  <c r="I58" i="7"/>
  <c r="I56" i="7"/>
  <c r="I36" i="7"/>
  <c r="I33" i="7"/>
  <c r="I34" i="7"/>
  <c r="I26" i="7"/>
  <c r="I25" i="7"/>
  <c r="T153" i="17" l="1"/>
  <c r="P156" i="17" l="1"/>
  <c r="K108" i="7" l="1"/>
  <c r="K107" i="7"/>
  <c r="P108" i="7"/>
  <c r="K121" i="7" l="1"/>
  <c r="K120" i="7"/>
  <c r="L38" i="5" l="1"/>
  <c r="L43" i="4" l="1"/>
  <c r="L42" i="4"/>
  <c r="L37" i="5" l="1"/>
  <c r="L35" i="5"/>
  <c r="L13" i="5"/>
  <c r="G170" i="17" l="1"/>
  <c r="Q141" i="17"/>
  <c r="N140" i="17"/>
  <c r="P140" i="17" s="1"/>
  <c r="N139" i="17"/>
  <c r="P139" i="17" s="1"/>
  <c r="G137" i="17"/>
  <c r="O137" i="17" s="1"/>
  <c r="Q137" i="17" s="1"/>
  <c r="F137" i="17"/>
  <c r="O136" i="17"/>
  <c r="Q136" i="17" s="1"/>
  <c r="K136" i="17"/>
  <c r="F136" i="17"/>
  <c r="O135" i="17"/>
  <c r="Q135" i="17" s="1"/>
  <c r="K135" i="17"/>
  <c r="I135" i="17"/>
  <c r="F135" i="17"/>
  <c r="I134" i="17"/>
  <c r="G134" i="17"/>
  <c r="K134" i="17" s="1"/>
  <c r="F134" i="17"/>
  <c r="N133" i="17"/>
  <c r="Q133" i="17" s="1"/>
  <c r="O132" i="17"/>
  <c r="Q132" i="17" s="1"/>
  <c r="G132" i="17"/>
  <c r="I132" i="17" s="1"/>
  <c r="K132" i="17" s="1"/>
  <c r="F132" i="17"/>
  <c r="G131" i="17"/>
  <c r="O131" i="17" s="1"/>
  <c r="P131" i="17" s="1"/>
  <c r="F131" i="17"/>
  <c r="N130" i="17"/>
  <c r="S130" i="17" s="1"/>
  <c r="P129" i="17"/>
  <c r="K129" i="17"/>
  <c r="I129" i="17"/>
  <c r="O129" i="17" s="1"/>
  <c r="Q129" i="17" s="1"/>
  <c r="P125" i="17"/>
  <c r="G125" i="17"/>
  <c r="P123" i="17"/>
  <c r="G123" i="17"/>
  <c r="K123" i="17" s="1"/>
  <c r="Q117" i="17"/>
  <c r="G117" i="17"/>
  <c r="S117" i="17" s="1"/>
  <c r="S166" i="17" s="1"/>
  <c r="K116" i="17"/>
  <c r="G116" i="17"/>
  <c r="O116" i="17" s="1"/>
  <c r="P116" i="17" s="1"/>
  <c r="G115" i="17"/>
  <c r="I115" i="17" s="1"/>
  <c r="J114" i="17"/>
  <c r="N114" i="17" s="1"/>
  <c r="G114" i="17"/>
  <c r="O113" i="17"/>
  <c r="P113" i="17" s="1"/>
  <c r="G112" i="17"/>
  <c r="I112" i="17" s="1"/>
  <c r="O112" i="17" s="1"/>
  <c r="P112" i="17" s="1"/>
  <c r="J106" i="17"/>
  <c r="N106" i="17" s="1"/>
  <c r="P106" i="17" s="1"/>
  <c r="G105" i="17"/>
  <c r="J105" i="17" s="1"/>
  <c r="N103" i="17"/>
  <c r="P103" i="17" s="1"/>
  <c r="K103" i="17"/>
  <c r="G103" i="17"/>
  <c r="F102" i="17"/>
  <c r="O83" i="17"/>
  <c r="P83" i="17" s="1"/>
  <c r="S83" i="17" s="1"/>
  <c r="O82" i="17"/>
  <c r="P82" i="17" s="1"/>
  <c r="I82" i="17"/>
  <c r="K82" i="17" s="1"/>
  <c r="O81" i="17"/>
  <c r="P81" i="17" s="1"/>
  <c r="I81" i="17"/>
  <c r="K81" i="17" s="1"/>
  <c r="G80" i="17"/>
  <c r="I80" i="17" s="1"/>
  <c r="O80" i="17" s="1"/>
  <c r="Q80" i="17" s="1"/>
  <c r="F80" i="17"/>
  <c r="D80" i="17"/>
  <c r="P79" i="17"/>
  <c r="G79" i="17"/>
  <c r="J79" i="17" s="1"/>
  <c r="K79" i="17" s="1"/>
  <c r="G78" i="17"/>
  <c r="K78" i="17" s="1"/>
  <c r="F78" i="17"/>
  <c r="D78" i="17"/>
  <c r="D77" i="17"/>
  <c r="G77" i="17" s="1"/>
  <c r="K76" i="17"/>
  <c r="I76" i="17"/>
  <c r="O76" i="17" s="1"/>
  <c r="P76" i="17" s="1"/>
  <c r="F75" i="17"/>
  <c r="D75" i="17"/>
  <c r="G75" i="17" s="1"/>
  <c r="F74" i="17"/>
  <c r="D74" i="17"/>
  <c r="G74" i="17" s="1"/>
  <c r="K74" i="17" s="1"/>
  <c r="G73" i="17"/>
  <c r="I73" i="17" s="1"/>
  <c r="O73" i="17" s="1"/>
  <c r="Q73" i="17" s="1"/>
  <c r="F73" i="17"/>
  <c r="D73" i="17"/>
  <c r="G72" i="17"/>
  <c r="K72" i="17" s="1"/>
  <c r="F72" i="17"/>
  <c r="D72" i="17"/>
  <c r="F71" i="17"/>
  <c r="D71" i="17"/>
  <c r="G71" i="17" s="1"/>
  <c r="G70" i="17"/>
  <c r="K70" i="17" s="1"/>
  <c r="F70" i="17"/>
  <c r="D70" i="17"/>
  <c r="G69" i="17"/>
  <c r="K69" i="17" s="1"/>
  <c r="F68" i="17"/>
  <c r="D68" i="17"/>
  <c r="G68" i="17" s="1"/>
  <c r="K67" i="17"/>
  <c r="I67" i="17"/>
  <c r="O67" i="17" s="1"/>
  <c r="P67" i="17" s="1"/>
  <c r="F66" i="17"/>
  <c r="D66" i="17"/>
  <c r="G66" i="17" s="1"/>
  <c r="K66" i="17" s="1"/>
  <c r="G65" i="17"/>
  <c r="K65" i="17" s="1"/>
  <c r="F65" i="17"/>
  <c r="D65" i="17"/>
  <c r="G64" i="17"/>
  <c r="I64" i="17" s="1"/>
  <c r="O64" i="17" s="1"/>
  <c r="Q64" i="17" s="1"/>
  <c r="F64" i="17"/>
  <c r="D64" i="17"/>
  <c r="G63" i="17"/>
  <c r="K63" i="17" s="1"/>
  <c r="F63" i="17"/>
  <c r="G62" i="17"/>
  <c r="K62" i="17" s="1"/>
  <c r="F62" i="17"/>
  <c r="D62" i="17"/>
  <c r="G61" i="17"/>
  <c r="I61" i="17" s="1"/>
  <c r="O61" i="17" s="1"/>
  <c r="Q61" i="17" s="1"/>
  <c r="F61" i="17"/>
  <c r="D61" i="17"/>
  <c r="K60" i="17"/>
  <c r="I60" i="17"/>
  <c r="O60" i="17" s="1"/>
  <c r="Q60" i="17" s="1"/>
  <c r="F60" i="17"/>
  <c r="D60" i="17"/>
  <c r="F59" i="17"/>
  <c r="D59" i="17"/>
  <c r="G59" i="17" s="1"/>
  <c r="I59" i="17" s="1"/>
  <c r="O59" i="17" s="1"/>
  <c r="P59" i="17" s="1"/>
  <c r="G58" i="17"/>
  <c r="I58" i="17" s="1"/>
  <c r="O58" i="17" s="1"/>
  <c r="Q58" i="17" s="1"/>
  <c r="F58" i="17"/>
  <c r="D58" i="17"/>
  <c r="J57" i="17"/>
  <c r="N57" i="17" s="1"/>
  <c r="G57" i="17"/>
  <c r="F57" i="17"/>
  <c r="D57" i="17"/>
  <c r="G56" i="17"/>
  <c r="I56" i="17" s="1"/>
  <c r="O56" i="17" s="1"/>
  <c r="Q56" i="17" s="1"/>
  <c r="F56" i="17"/>
  <c r="D56" i="17"/>
  <c r="J55" i="17"/>
  <c r="N55" i="17" s="1"/>
  <c r="G55" i="17"/>
  <c r="F55" i="17"/>
  <c r="D55" i="17"/>
  <c r="K54" i="17"/>
  <c r="I54" i="17"/>
  <c r="O54" i="17" s="1"/>
  <c r="P54" i="17" s="1"/>
  <c r="F53" i="17"/>
  <c r="D53" i="17"/>
  <c r="G53" i="17" s="1"/>
  <c r="G52" i="17"/>
  <c r="K52" i="17" s="1"/>
  <c r="F52" i="17"/>
  <c r="D52" i="17"/>
  <c r="G51" i="17"/>
  <c r="K51" i="17" s="1"/>
  <c r="F51" i="17"/>
  <c r="D51" i="17"/>
  <c r="G50" i="17"/>
  <c r="I50" i="17" s="1"/>
  <c r="O50" i="17" s="1"/>
  <c r="P50" i="17" s="1"/>
  <c r="F50" i="17"/>
  <c r="D50" i="17"/>
  <c r="G49" i="17"/>
  <c r="K49" i="17" s="1"/>
  <c r="F49" i="17"/>
  <c r="D49" i="17"/>
  <c r="G48" i="17"/>
  <c r="I48" i="17" s="1"/>
  <c r="O48" i="17" s="1"/>
  <c r="P48" i="17" s="1"/>
  <c r="F48" i="17"/>
  <c r="G47" i="17"/>
  <c r="I47" i="17" s="1"/>
  <c r="G46" i="17"/>
  <c r="K46" i="17" s="1"/>
  <c r="F46" i="17"/>
  <c r="G45" i="17"/>
  <c r="I45" i="17" s="1"/>
  <c r="O45" i="17" s="1"/>
  <c r="P45" i="17" s="1"/>
  <c r="D45" i="17"/>
  <c r="G44" i="17"/>
  <c r="I44" i="17" s="1"/>
  <c r="O44" i="17" s="1"/>
  <c r="Q44" i="17" s="1"/>
  <c r="F44" i="17"/>
  <c r="F43" i="17"/>
  <c r="D43" i="17"/>
  <c r="G43" i="17" s="1"/>
  <c r="G42" i="17"/>
  <c r="K42" i="17" s="1"/>
  <c r="F42" i="17"/>
  <c r="D42" i="17"/>
  <c r="G41" i="17"/>
  <c r="K41" i="17" s="1"/>
  <c r="F41" i="17"/>
  <c r="D41" i="17"/>
  <c r="F40" i="17"/>
  <c r="E40" i="17"/>
  <c r="G40" i="17" s="1"/>
  <c r="I40" i="17" s="1"/>
  <c r="O40" i="17" s="1"/>
  <c r="Q40" i="17" s="1"/>
  <c r="D40" i="17"/>
  <c r="G39" i="17"/>
  <c r="K39" i="17" s="1"/>
  <c r="F39" i="17"/>
  <c r="D39" i="17"/>
  <c r="G38" i="17"/>
  <c r="K38" i="17" s="1"/>
  <c r="F38" i="17"/>
  <c r="D38" i="17"/>
  <c r="K37" i="17"/>
  <c r="I37" i="17"/>
  <c r="O37" i="17" s="1"/>
  <c r="Q37" i="17" s="1"/>
  <c r="F37" i="17"/>
  <c r="D37" i="17"/>
  <c r="F36" i="17"/>
  <c r="G36" i="17" s="1"/>
  <c r="D36" i="17"/>
  <c r="F35" i="17"/>
  <c r="D35" i="17"/>
  <c r="G35" i="17" s="1"/>
  <c r="I35" i="17" s="1"/>
  <c r="K35" i="17" s="1"/>
  <c r="J34" i="17"/>
  <c r="N34" i="17" s="1"/>
  <c r="F34" i="17"/>
  <c r="D34" i="17"/>
  <c r="G34" i="17" s="1"/>
  <c r="I33" i="17"/>
  <c r="O33" i="17" s="1"/>
  <c r="P33" i="17" s="1"/>
  <c r="J32" i="17"/>
  <c r="N32" i="17" s="1"/>
  <c r="G32" i="17"/>
  <c r="F32" i="17"/>
  <c r="D32" i="17"/>
  <c r="G31" i="17"/>
  <c r="I31" i="17" s="1"/>
  <c r="O31" i="17" s="1"/>
  <c r="Q31" i="17" s="1"/>
  <c r="F31" i="17"/>
  <c r="G30" i="17"/>
  <c r="K30" i="17" s="1"/>
  <c r="F30" i="17"/>
  <c r="G29" i="17"/>
  <c r="K29" i="17" s="1"/>
  <c r="F29" i="17"/>
  <c r="D29" i="17"/>
  <c r="G28" i="17"/>
  <c r="I28" i="17" s="1"/>
  <c r="O28" i="17" s="1"/>
  <c r="Q28" i="17" s="1"/>
  <c r="D28" i="17"/>
  <c r="G27" i="17"/>
  <c r="K27" i="17" s="1"/>
  <c r="F27" i="17"/>
  <c r="D27" i="17"/>
  <c r="G26" i="17"/>
  <c r="I26" i="17" s="1"/>
  <c r="O26" i="17" s="1"/>
  <c r="Q26" i="17" s="1"/>
  <c r="F26" i="17"/>
  <c r="D26" i="17"/>
  <c r="F25" i="17"/>
  <c r="G25" i="17" s="1"/>
  <c r="D25" i="17"/>
  <c r="J24" i="17"/>
  <c r="G24" i="17"/>
  <c r="F24" i="17"/>
  <c r="D24" i="17"/>
  <c r="J23" i="17"/>
  <c r="N23" i="17" s="1"/>
  <c r="G23" i="17"/>
  <c r="F23" i="17"/>
  <c r="D23" i="17"/>
  <c r="G22" i="17"/>
  <c r="I22" i="17" s="1"/>
  <c r="O22" i="17" s="1"/>
  <c r="Q22" i="17" s="1"/>
  <c r="F22" i="17"/>
  <c r="D22" i="17"/>
  <c r="G21" i="17"/>
  <c r="K21" i="17" s="1"/>
  <c r="F21" i="17"/>
  <c r="D21" i="17"/>
  <c r="G20" i="17"/>
  <c r="I20" i="17" s="1"/>
  <c r="O20" i="17" s="1"/>
  <c r="Q20" i="17" s="1"/>
  <c r="F20" i="17"/>
  <c r="D20" i="17"/>
  <c r="G19" i="17"/>
  <c r="I19" i="17" s="1"/>
  <c r="O19" i="17" s="1"/>
  <c r="Q19" i="17" s="1"/>
  <c r="F19" i="17"/>
  <c r="D19" i="17"/>
  <c r="G18" i="17"/>
  <c r="K18" i="17" s="1"/>
  <c r="F18" i="17"/>
  <c r="D18" i="17"/>
  <c r="G17" i="17"/>
  <c r="F17" i="17"/>
  <c r="D17" i="17"/>
  <c r="Q14" i="17"/>
  <c r="Q11" i="17" s="1"/>
  <c r="J14" i="17"/>
  <c r="P11" i="17"/>
  <c r="G11" i="17"/>
  <c r="K64" i="17" l="1"/>
  <c r="I72" i="17"/>
  <c r="O72" i="17" s="1"/>
  <c r="Q72" i="17" s="1"/>
  <c r="K80" i="17"/>
  <c r="K33" i="17"/>
  <c r="K105" i="17"/>
  <c r="N105" i="17"/>
  <c r="P105" i="17" s="1"/>
  <c r="O134" i="17"/>
  <c r="Q134" i="17" s="1"/>
  <c r="I70" i="17"/>
  <c r="O70" i="17" s="1"/>
  <c r="P70" i="17" s="1"/>
  <c r="Q130" i="17"/>
  <c r="K14" i="17"/>
  <c r="J11" i="17"/>
  <c r="K11" i="17" s="1"/>
  <c r="I78" i="17"/>
  <c r="O78" i="17" s="1"/>
  <c r="P78" i="17" s="1"/>
  <c r="I63" i="17"/>
  <c r="O63" i="17" s="1"/>
  <c r="Q63" i="17" s="1"/>
  <c r="K73" i="17"/>
  <c r="I23" i="17"/>
  <c r="O23" i="17" s="1"/>
  <c r="Q23" i="17" s="1"/>
  <c r="I34" i="17"/>
  <c r="K34" i="17" s="1"/>
  <c r="I57" i="17"/>
  <c r="O57" i="17" s="1"/>
  <c r="Q57" i="17" s="1"/>
  <c r="I32" i="17"/>
  <c r="O32" i="17" s="1"/>
  <c r="Q32" i="17" s="1"/>
  <c r="I114" i="17"/>
  <c r="O114" i="17" s="1"/>
  <c r="P114" i="17" s="1"/>
  <c r="I17" i="17"/>
  <c r="O17" i="17" s="1"/>
  <c r="K17" i="17"/>
  <c r="I24" i="17"/>
  <c r="K24" i="17" s="1"/>
  <c r="K58" i="17"/>
  <c r="I55" i="17"/>
  <c r="O55" i="17" s="1"/>
  <c r="Q55" i="17" s="1"/>
  <c r="K22" i="17"/>
  <c r="K40" i="17"/>
  <c r="K59" i="17"/>
  <c r="K45" i="17"/>
  <c r="K50" i="17"/>
  <c r="K56" i="17"/>
  <c r="K28" i="17"/>
  <c r="K47" i="17"/>
  <c r="O47" i="17" s="1"/>
  <c r="P47" i="17" s="1"/>
  <c r="K112" i="17"/>
  <c r="K19" i="17"/>
  <c r="I42" i="17"/>
  <c r="O42" i="17" s="1"/>
  <c r="Q42" i="17" s="1"/>
  <c r="I52" i="17"/>
  <c r="O52" i="17" s="1"/>
  <c r="P52" i="17" s="1"/>
  <c r="I38" i="17"/>
  <c r="O38" i="17" s="1"/>
  <c r="Q38" i="17" s="1"/>
  <c r="I29" i="17"/>
  <c r="O29" i="17" s="1"/>
  <c r="P29" i="17" s="1"/>
  <c r="K61" i="17"/>
  <c r="K44" i="17"/>
  <c r="O35" i="17"/>
  <c r="P35" i="17" s="1"/>
  <c r="K26" i="17"/>
  <c r="K31" i="17"/>
  <c r="K77" i="17"/>
  <c r="I77" i="17"/>
  <c r="O77" i="17" s="1"/>
  <c r="P77" i="17" s="1"/>
  <c r="K43" i="17"/>
  <c r="I43" i="17"/>
  <c r="O43" i="17" s="1"/>
  <c r="Q43" i="17" s="1"/>
  <c r="K53" i="17"/>
  <c r="I53" i="17"/>
  <c r="O53" i="17" s="1"/>
  <c r="P53" i="17" s="1"/>
  <c r="K36" i="17"/>
  <c r="I36" i="17"/>
  <c r="O36" i="17" s="1"/>
  <c r="Q36" i="17" s="1"/>
  <c r="O115" i="17"/>
  <c r="P115" i="17" s="1"/>
  <c r="K115" i="17"/>
  <c r="K68" i="17"/>
  <c r="I68" i="17"/>
  <c r="O68" i="17" s="1"/>
  <c r="P68" i="17" s="1"/>
  <c r="K75" i="17"/>
  <c r="I75" i="17"/>
  <c r="O75" i="17" s="1"/>
  <c r="P75" i="17" s="1"/>
  <c r="K25" i="17"/>
  <c r="I25" i="17"/>
  <c r="O25" i="17" s="1"/>
  <c r="Q25" i="17" s="1"/>
  <c r="K71" i="17"/>
  <c r="I71" i="17"/>
  <c r="O71" i="17" s="1"/>
  <c r="P71" i="17" s="1"/>
  <c r="I74" i="17"/>
  <c r="O74" i="17" s="1"/>
  <c r="P74" i="17" s="1"/>
  <c r="K20" i="17"/>
  <c r="N24" i="17"/>
  <c r="K48" i="17"/>
  <c r="I62" i="17"/>
  <c r="O62" i="17" s="1"/>
  <c r="Q62" i="17" s="1"/>
  <c r="I18" i="17"/>
  <c r="O18" i="17" s="1"/>
  <c r="Q18" i="17" s="1"/>
  <c r="I27" i="17"/>
  <c r="O27" i="17" s="1"/>
  <c r="Q27" i="17" s="1"/>
  <c r="I41" i="17"/>
  <c r="O41" i="17" s="1"/>
  <c r="Q41" i="17" s="1"/>
  <c r="I46" i="17"/>
  <c r="O46" i="17" s="1"/>
  <c r="P46" i="17" s="1"/>
  <c r="I51" i="17"/>
  <c r="O51" i="17" s="1"/>
  <c r="P51" i="17" s="1"/>
  <c r="J123" i="17"/>
  <c r="N123" i="17" s="1"/>
  <c r="Q123" i="17" s="1"/>
  <c r="I137" i="17"/>
  <c r="I39" i="17"/>
  <c r="O39" i="17" s="1"/>
  <c r="Q39" i="17" s="1"/>
  <c r="I65" i="17"/>
  <c r="O65" i="17" s="1"/>
  <c r="Q65" i="17" s="1"/>
  <c r="K137" i="17"/>
  <c r="I21" i="17"/>
  <c r="O21" i="17" s="1"/>
  <c r="Q21" i="17" s="1"/>
  <c r="I49" i="17"/>
  <c r="O49" i="17" s="1"/>
  <c r="P49" i="17" s="1"/>
  <c r="I30" i="17"/>
  <c r="O30" i="17" s="1"/>
  <c r="P30" i="17" s="1"/>
  <c r="I66" i="17"/>
  <c r="O66" i="17" s="1"/>
  <c r="P66" i="17" s="1"/>
  <c r="I69" i="17"/>
  <c r="O69" i="17" s="1"/>
  <c r="P69" i="17" s="1"/>
  <c r="K106" i="17"/>
  <c r="K23" i="17" l="1"/>
  <c r="N15" i="17"/>
  <c r="K57" i="17"/>
  <c r="K114" i="17"/>
  <c r="O34" i="17"/>
  <c r="O24" i="17"/>
  <c r="Q24" i="17" s="1"/>
  <c r="K32" i="17"/>
  <c r="K55" i="17"/>
  <c r="J15" i="17"/>
  <c r="Q17" i="17"/>
  <c r="Q15" i="17" s="1"/>
  <c r="P13" i="5"/>
  <c r="Q166" i="17" l="1"/>
  <c r="P170" i="17" s="1"/>
  <c r="P34" i="17"/>
  <c r="Q42" i="4"/>
  <c r="Q122" i="7" l="1"/>
  <c r="O51" i="9" l="1"/>
  <c r="O50" i="9" l="1"/>
  <c r="O82" i="7" l="1"/>
  <c r="P82" i="7" s="1"/>
  <c r="S82" i="7" s="1"/>
  <c r="K81" i="7" l="1"/>
  <c r="O80" i="7"/>
  <c r="P80" i="7" s="1"/>
  <c r="I80" i="7"/>
  <c r="K80" i="7" s="1"/>
  <c r="N48" i="9" l="1"/>
  <c r="O48" i="9"/>
  <c r="N111" i="7" l="1"/>
  <c r="S111" i="7" s="1"/>
  <c r="Q111" i="7" l="1"/>
  <c r="N114" i="7"/>
  <c r="Q114" i="7" s="1"/>
  <c r="I113" i="7" l="1"/>
  <c r="J88" i="7" l="1"/>
  <c r="K113" i="7"/>
  <c r="K88" i="7" l="1"/>
  <c r="N88" i="7"/>
  <c r="Q88" i="7" l="1"/>
  <c r="O105" i="7"/>
  <c r="N121" i="7"/>
  <c r="N120" i="7"/>
  <c r="P120" i="7" l="1"/>
  <c r="P121" i="7"/>
  <c r="D13" i="5" l="1"/>
  <c r="P31" i="5" l="1"/>
  <c r="Q36" i="5" s="1"/>
  <c r="A3" i="10" l="1"/>
  <c r="A3" i="4"/>
  <c r="A3" i="5" l="1"/>
  <c r="Q102" i="7" l="1"/>
  <c r="O101" i="7" l="1"/>
  <c r="P101" i="7" s="1"/>
  <c r="S101" i="7" s="1"/>
  <c r="S123" i="7" s="1"/>
  <c r="S128" i="7" s="1"/>
  <c r="K101" i="7"/>
  <c r="I67" i="7" l="1"/>
  <c r="O67" i="7" s="1"/>
  <c r="P67" i="7" s="1"/>
  <c r="K75" i="7"/>
  <c r="I75" i="7"/>
  <c r="O75" i="7" s="1"/>
  <c r="P75" i="7" s="1"/>
  <c r="K55" i="7"/>
  <c r="I55" i="7"/>
  <c r="O55" i="7" s="1"/>
  <c r="P55" i="7" s="1"/>
  <c r="K67" i="7" l="1"/>
  <c r="K34" i="7" l="1"/>
  <c r="D44" i="7"/>
  <c r="O34" i="7" l="1"/>
  <c r="P34" i="7" s="1"/>
  <c r="I44" i="7" l="1"/>
  <c r="O44" i="7" s="1"/>
  <c r="P44" i="7" s="1"/>
  <c r="K44" i="7"/>
  <c r="O47" i="9"/>
  <c r="N47" i="9"/>
  <c r="O100" i="7" l="1"/>
  <c r="P100" i="7" s="1"/>
  <c r="K100" i="7"/>
  <c r="P46" i="7" l="1"/>
  <c r="D18" i="7" l="1"/>
  <c r="D19" i="7"/>
  <c r="D20" i="7"/>
  <c r="D21" i="7"/>
  <c r="D25" i="7"/>
  <c r="D26" i="7"/>
  <c r="D27" i="7"/>
  <c r="D28" i="7"/>
  <c r="D29" i="7"/>
  <c r="D30" i="7"/>
  <c r="D31" i="7"/>
  <c r="D33" i="7"/>
  <c r="D35" i="7"/>
  <c r="D36" i="7"/>
  <c r="D37" i="7"/>
  <c r="D38" i="7"/>
  <c r="D39" i="7"/>
  <c r="D40" i="7"/>
  <c r="D41" i="7"/>
  <c r="D42" i="7"/>
  <c r="D43" i="7"/>
  <c r="D49" i="7"/>
  <c r="D50" i="7"/>
  <c r="D52" i="7"/>
  <c r="D53" i="7"/>
  <c r="D54" i="7"/>
  <c r="D56" i="7"/>
  <c r="D57" i="7"/>
  <c r="D58" i="7"/>
  <c r="D59" i="7"/>
  <c r="D60" i="7"/>
  <c r="D61" i="7"/>
  <c r="D62" i="7"/>
  <c r="D64" i="7"/>
  <c r="D65" i="7"/>
  <c r="D66" i="7"/>
  <c r="D68" i="7"/>
  <c r="D69" i="7"/>
  <c r="D71" i="7"/>
  <c r="D72" i="7"/>
  <c r="D73" i="7"/>
  <c r="D74" i="7"/>
  <c r="D76" i="7"/>
  <c r="D77" i="7"/>
  <c r="D79" i="7"/>
  <c r="D17" i="7"/>
  <c r="K36" i="7" l="1"/>
  <c r="O36" i="7"/>
  <c r="K76" i="7"/>
  <c r="I76" i="7"/>
  <c r="O76" i="7" s="1"/>
  <c r="P76" i="7" s="1"/>
  <c r="E41" i="7"/>
  <c r="F27" i="7"/>
  <c r="F18" i="7"/>
  <c r="F19" i="7"/>
  <c r="F20" i="7"/>
  <c r="F21" i="7"/>
  <c r="F25" i="7"/>
  <c r="F26" i="7"/>
  <c r="F28" i="7"/>
  <c r="F29" i="7"/>
  <c r="F31" i="7"/>
  <c r="F32" i="7"/>
  <c r="F33" i="7"/>
  <c r="F35" i="7"/>
  <c r="F36" i="7"/>
  <c r="F37" i="7"/>
  <c r="F38" i="7"/>
  <c r="F39" i="7"/>
  <c r="F40" i="7"/>
  <c r="F41" i="7"/>
  <c r="F42" i="7"/>
  <c r="F43" i="7"/>
  <c r="F45" i="7"/>
  <c r="F48" i="7"/>
  <c r="F49" i="7"/>
  <c r="F50" i="7"/>
  <c r="F52" i="7"/>
  <c r="F53" i="7"/>
  <c r="F54" i="7"/>
  <c r="F56" i="7"/>
  <c r="F57" i="7"/>
  <c r="F58" i="7"/>
  <c r="F59" i="7"/>
  <c r="F60" i="7"/>
  <c r="F61" i="7"/>
  <c r="F62" i="7"/>
  <c r="F63" i="7"/>
  <c r="F64" i="7"/>
  <c r="F65" i="7"/>
  <c r="F66" i="7"/>
  <c r="F68" i="7"/>
  <c r="F69" i="7"/>
  <c r="F71" i="7"/>
  <c r="F72" i="7"/>
  <c r="F73" i="7"/>
  <c r="F74" i="7"/>
  <c r="F77" i="7"/>
  <c r="F79" i="7"/>
  <c r="F83" i="7"/>
  <c r="F112" i="7"/>
  <c r="F113" i="7"/>
  <c r="F115" i="7"/>
  <c r="F116" i="7"/>
  <c r="F117" i="7"/>
  <c r="F118" i="7"/>
  <c r="F17" i="7"/>
  <c r="G110" i="17" l="1"/>
  <c r="G111" i="17"/>
  <c r="R48" i="10"/>
  <c r="S48" i="10" s="1"/>
  <c r="T48" i="10" s="1"/>
  <c r="Q47" i="10"/>
  <c r="Q48" i="10" s="1"/>
  <c r="E44" i="10"/>
  <c r="D39" i="10"/>
  <c r="Q35" i="10"/>
  <c r="O35" i="10"/>
  <c r="L38" i="10"/>
  <c r="I35" i="10"/>
  <c r="D35" i="10"/>
  <c r="D36" i="10" s="1"/>
  <c r="P34" i="10"/>
  <c r="L40" i="10" s="1"/>
  <c r="H32" i="10"/>
  <c r="H30" i="10"/>
  <c r="L29" i="10"/>
  <c r="H29" i="10"/>
  <c r="H27" i="10"/>
  <c r="L26" i="10"/>
  <c r="H26" i="10"/>
  <c r="H25" i="10"/>
  <c r="H24" i="10"/>
  <c r="M23" i="10"/>
  <c r="L23" i="10"/>
  <c r="H23" i="10"/>
  <c r="M22" i="10"/>
  <c r="H22" i="10"/>
  <c r="E20" i="10"/>
  <c r="E35" i="10" s="1"/>
  <c r="L18" i="10"/>
  <c r="H18" i="10"/>
  <c r="M17" i="10"/>
  <c r="H17" i="10"/>
  <c r="H11" i="10" s="1"/>
  <c r="H16" i="10"/>
  <c r="L14" i="10"/>
  <c r="H14" i="10"/>
  <c r="L13" i="10"/>
  <c r="H13" i="10"/>
  <c r="A9" i="10"/>
  <c r="H20" i="10" l="1"/>
  <c r="M35" i="10"/>
  <c r="L39" i="10" s="1"/>
  <c r="L41" i="10" s="1"/>
  <c r="K30" i="10"/>
  <c r="E43" i="10"/>
  <c r="E46" i="10" s="1"/>
  <c r="G15" i="17"/>
  <c r="G166" i="17" s="1"/>
  <c r="K111" i="17"/>
  <c r="I111" i="17"/>
  <c r="O111" i="17" s="1"/>
  <c r="P111" i="17" s="1"/>
  <c r="K110" i="17"/>
  <c r="K15" i="17" s="1"/>
  <c r="K166" i="17" s="1"/>
  <c r="I110" i="17"/>
  <c r="H35" i="10"/>
  <c r="H40" i="10" s="1"/>
  <c r="D38" i="10"/>
  <c r="D40" i="10" s="1"/>
  <c r="O40" i="10" l="1"/>
  <c r="O41" i="10" s="1"/>
  <c r="G169" i="17"/>
  <c r="G171" i="17" s="1"/>
  <c r="O110" i="17"/>
  <c r="O15" i="17" s="1"/>
  <c r="I15" i="17"/>
  <c r="L42" i="10"/>
  <c r="P110" i="17" l="1"/>
  <c r="P15" i="17" s="1"/>
  <c r="Q61" i="9"/>
  <c r="Q60" i="9"/>
  <c r="R62" i="9" s="1"/>
  <c r="S62" i="9" s="1"/>
  <c r="T62" i="9" s="1"/>
  <c r="E56" i="9"/>
  <c r="I53" i="9"/>
  <c r="P52" i="9"/>
  <c r="J52" i="9"/>
  <c r="F52" i="9"/>
  <c r="O46" i="9"/>
  <c r="O45" i="9"/>
  <c r="N45" i="9"/>
  <c r="O44" i="9"/>
  <c r="N44" i="9"/>
  <c r="N43" i="9"/>
  <c r="O43" i="9"/>
  <c r="O42" i="9"/>
  <c r="O52" i="9" s="1"/>
  <c r="I37" i="9"/>
  <c r="K37" i="9"/>
  <c r="N37" i="9" s="1"/>
  <c r="I36" i="9"/>
  <c r="N29" i="9"/>
  <c r="I23" i="9"/>
  <c r="I17" i="9" s="1"/>
  <c r="N11" i="9"/>
  <c r="M11" i="9"/>
  <c r="I11" i="9"/>
  <c r="H11" i="9"/>
  <c r="G11" i="9"/>
  <c r="M52" i="9" l="1"/>
  <c r="M55" i="9" s="1"/>
  <c r="P166" i="17"/>
  <c r="P169" i="17" s="1"/>
  <c r="Q172" i="17" s="1"/>
  <c r="Q173" i="17" s="1"/>
  <c r="I52" i="9"/>
  <c r="K42" i="9"/>
  <c r="N42" i="9" s="1"/>
  <c r="N17" i="9" s="1"/>
  <c r="Q62" i="9"/>
  <c r="M4" i="17" l="1"/>
  <c r="N52" i="9"/>
  <c r="M56" i="9" s="1"/>
  <c r="N58" i="9" s="1"/>
  <c r="P57" i="9"/>
  <c r="E55" i="9"/>
  <c r="E57" i="9" s="1"/>
  <c r="M57" i="9" l="1"/>
  <c r="N59" i="9"/>
  <c r="I79" i="7"/>
  <c r="K79" i="7" l="1"/>
  <c r="O79" i="7"/>
  <c r="Q79" i="7" s="1"/>
  <c r="J87" i="7"/>
  <c r="K87" i="7" l="1"/>
  <c r="N87" i="7"/>
  <c r="P87" i="7" l="1"/>
  <c r="O117" i="7" l="1"/>
  <c r="K117" i="7"/>
  <c r="O116" i="7"/>
  <c r="Q116" i="7" s="1"/>
  <c r="K116" i="7"/>
  <c r="K115" i="7" l="1"/>
  <c r="Q117" i="7"/>
  <c r="O115" i="7"/>
  <c r="Q115" i="7" s="1"/>
  <c r="K118" i="7"/>
  <c r="O118" i="7"/>
  <c r="Q118" i="7" s="1"/>
  <c r="K77" i="7"/>
  <c r="O113" i="7" l="1"/>
  <c r="I77" i="7"/>
  <c r="I21" i="7"/>
  <c r="O21" i="7" s="1"/>
  <c r="Q113" i="7" l="1"/>
  <c r="Q21" i="7"/>
  <c r="O77" i="7"/>
  <c r="K21" i="7"/>
  <c r="P77" i="7" l="1"/>
  <c r="K74" i="7" l="1"/>
  <c r="I74" i="7"/>
  <c r="K73" i="7"/>
  <c r="I73" i="7"/>
  <c r="O73" i="7" l="1"/>
  <c r="O74" i="7"/>
  <c r="K72" i="7"/>
  <c r="I72" i="7"/>
  <c r="K71" i="7"/>
  <c r="O72" i="7" l="1"/>
  <c r="Q72" i="7" s="1"/>
  <c r="P74" i="7"/>
  <c r="P73" i="7"/>
  <c r="I71" i="7"/>
  <c r="K69" i="7"/>
  <c r="I69" i="7"/>
  <c r="K68" i="7"/>
  <c r="I68" i="7"/>
  <c r="K66" i="7"/>
  <c r="I66" i="7"/>
  <c r="O68" i="7" l="1"/>
  <c r="O66" i="7"/>
  <c r="O69" i="7"/>
  <c r="O71" i="7"/>
  <c r="Q71" i="7" s="1"/>
  <c r="P68" i="7" l="1"/>
  <c r="P69" i="7"/>
  <c r="P66" i="7"/>
  <c r="O112" i="7"/>
  <c r="P112" i="7" l="1"/>
  <c r="K105" i="7" l="1"/>
  <c r="I38" i="7" l="1"/>
  <c r="I62" i="7"/>
  <c r="I52" i="7" l="1"/>
  <c r="I41" i="7"/>
  <c r="I64" i="7"/>
  <c r="I59" i="7"/>
  <c r="O64" i="7" l="1"/>
  <c r="Q64" i="7" s="1"/>
  <c r="K64" i="7"/>
  <c r="K65" i="7"/>
  <c r="I65" i="7"/>
  <c r="I63" i="7"/>
  <c r="O63" i="7" l="1"/>
  <c r="Q63" i="7" s="1"/>
  <c r="O65" i="7"/>
  <c r="Q65" i="7" s="1"/>
  <c r="K63" i="7"/>
  <c r="I27" i="7"/>
  <c r="I17" i="7" l="1"/>
  <c r="I18" i="7" l="1"/>
  <c r="O17" i="7"/>
  <c r="K62" i="7"/>
  <c r="O62" i="7"/>
  <c r="Q62" i="7" s="1"/>
  <c r="I30" i="7"/>
  <c r="I50" i="7"/>
  <c r="I49" i="7" l="1"/>
  <c r="K49" i="7"/>
  <c r="I96" i="7" l="1"/>
  <c r="A31" i="5" l="1"/>
  <c r="A37" i="4"/>
  <c r="K84" i="7" l="1"/>
  <c r="I37" i="7"/>
  <c r="I97" i="7"/>
  <c r="O38" i="7"/>
  <c r="P38" i="7" s="1"/>
  <c r="K38" i="7"/>
  <c r="N58" i="7" l="1"/>
  <c r="K58" i="7" l="1"/>
  <c r="O58" i="7"/>
  <c r="Q58" i="7" s="1"/>
  <c r="K26" i="7"/>
  <c r="I61" i="7"/>
  <c r="K40" i="7" l="1"/>
  <c r="I40" i="7"/>
  <c r="O40" i="7" s="1"/>
  <c r="Q40" i="7" s="1"/>
  <c r="K54" i="7"/>
  <c r="I54" i="7"/>
  <c r="O26" i="7"/>
  <c r="N26" i="7"/>
  <c r="O61" i="7"/>
  <c r="O41" i="7"/>
  <c r="K37" i="7"/>
  <c r="I57" i="7"/>
  <c r="I29" i="7"/>
  <c r="I28" i="7"/>
  <c r="O59" i="7"/>
  <c r="Q59" i="7" s="1"/>
  <c r="K59" i="7"/>
  <c r="O54" i="7" l="1"/>
  <c r="O57" i="7"/>
  <c r="Q57" i="7" s="1"/>
  <c r="Q26" i="7"/>
  <c r="N33" i="7"/>
  <c r="N25" i="7"/>
  <c r="N35" i="7"/>
  <c r="I35" i="7"/>
  <c r="K60" i="7"/>
  <c r="I60" i="7"/>
  <c r="O29" i="7"/>
  <c r="Q29" i="7" s="1"/>
  <c r="O28" i="7"/>
  <c r="Q28" i="7" s="1"/>
  <c r="O60" i="7" l="1"/>
  <c r="P54" i="7"/>
  <c r="O33" i="7"/>
  <c r="Q33" i="7" s="1"/>
  <c r="K33" i="7"/>
  <c r="O35" i="7"/>
  <c r="K35" i="7"/>
  <c r="O25" i="7"/>
  <c r="Q25" i="7" s="1"/>
  <c r="K25" i="7"/>
  <c r="P35" i="7"/>
  <c r="E36" i="6"/>
  <c r="O36" i="6" s="1"/>
  <c r="N21" i="6"/>
  <c r="L21" i="6"/>
  <c r="E21" i="6"/>
  <c r="I21" i="6" s="1"/>
  <c r="P60" i="7" l="1"/>
  <c r="K36" i="6"/>
  <c r="N36" i="6" s="1"/>
  <c r="N17" i="6" s="1"/>
  <c r="E42" i="6" l="1"/>
  <c r="D35" i="5"/>
  <c r="D41" i="4"/>
  <c r="G127" i="7"/>
  <c r="M31" i="5" l="1"/>
  <c r="H31" i="5"/>
  <c r="D31" i="5" l="1"/>
  <c r="P35" i="4"/>
  <c r="A9" i="4" l="1"/>
  <c r="L51" i="3"/>
  <c r="O110" i="7"/>
  <c r="Q110" i="7" s="1"/>
  <c r="K110" i="7"/>
  <c r="K20" i="7" l="1"/>
  <c r="I20" i="7"/>
  <c r="O20" i="7" s="1"/>
  <c r="Q20" i="7" s="1"/>
  <c r="O37" i="7"/>
  <c r="I19" i="7" l="1"/>
  <c r="K32" i="7"/>
  <c r="I32" i="7"/>
  <c r="O32" i="7" s="1"/>
  <c r="K53" i="7"/>
  <c r="I53" i="7"/>
  <c r="O53" i="7" s="1"/>
  <c r="O27" i="7"/>
  <c r="O30" i="7"/>
  <c r="Q30" i="7" l="1"/>
  <c r="O19" i="7"/>
  <c r="Q104" i="7"/>
  <c r="K94" i="7"/>
  <c r="G15" i="7"/>
  <c r="O96" i="7"/>
  <c r="O97" i="7"/>
  <c r="K104" i="7" l="1"/>
  <c r="N99" i="7"/>
  <c r="K17" i="7"/>
  <c r="J15" i="7"/>
  <c r="O18" i="7"/>
  <c r="K18" i="7"/>
  <c r="O99" i="7" l="1"/>
  <c r="K99" i="7"/>
  <c r="K39" i="7"/>
  <c r="I39" i="7"/>
  <c r="O39" i="7" s="1"/>
  <c r="Q18" i="7"/>
  <c r="P99" i="7" l="1"/>
  <c r="O56" i="7"/>
  <c r="K56" i="7"/>
  <c r="Q17" i="7"/>
  <c r="Q15" i="7" s="1"/>
  <c r="Q123" i="7" s="1"/>
  <c r="N56" i="7"/>
  <c r="N15" i="7" s="1"/>
  <c r="K52" i="7"/>
  <c r="K50" i="7"/>
  <c r="I48" i="7"/>
  <c r="I31" i="7" l="1"/>
  <c r="Q56" i="7"/>
  <c r="K42" i="7"/>
  <c r="I42" i="7"/>
  <c r="K43" i="7"/>
  <c r="I43" i="7"/>
  <c r="K45" i="7"/>
  <c r="I45" i="7"/>
  <c r="K31" i="7"/>
  <c r="O48" i="7"/>
  <c r="P48" i="7" s="1"/>
  <c r="O49" i="7"/>
  <c r="O43" i="7" l="1"/>
  <c r="Q43" i="7" s="1"/>
  <c r="O42" i="7"/>
  <c r="O52" i="7"/>
  <c r="P52" i="7" s="1"/>
  <c r="O45" i="7"/>
  <c r="O50" i="7"/>
  <c r="O31" i="7"/>
  <c r="E17" i="6"/>
  <c r="P31" i="7" l="1"/>
  <c r="Q42" i="7"/>
  <c r="P45" i="7"/>
  <c r="D9" i="3"/>
  <c r="D45" i="3" s="1"/>
  <c r="P110" i="7" l="1"/>
  <c r="P104" i="7"/>
  <c r="K97" i="7"/>
  <c r="P97" i="7" s="1"/>
  <c r="K96" i="7"/>
  <c r="Q61" i="7"/>
  <c r="K61" i="7"/>
  <c r="P53" i="7"/>
  <c r="P50" i="7"/>
  <c r="P49" i="7"/>
  <c r="K48" i="7"/>
  <c r="Q41" i="7"/>
  <c r="Q39" i="7"/>
  <c r="Q37" i="7"/>
  <c r="P32" i="7"/>
  <c r="K30" i="7"/>
  <c r="K29" i="7"/>
  <c r="K28" i="7"/>
  <c r="K27" i="7"/>
  <c r="Q19" i="7"/>
  <c r="Q14" i="7"/>
  <c r="Q11" i="7" s="1"/>
  <c r="J14" i="7"/>
  <c r="K14" i="7" s="1"/>
  <c r="K13" i="7"/>
  <c r="P11" i="7"/>
  <c r="G11" i="7"/>
  <c r="P96" i="7" l="1"/>
  <c r="J11" i="7"/>
  <c r="K11" i="7" s="1"/>
  <c r="K19" i="7"/>
  <c r="P106" i="7"/>
  <c r="K57" i="7"/>
  <c r="K41" i="7"/>
  <c r="K15" i="7" l="1"/>
  <c r="Q27" i="7"/>
  <c r="P127" i="7" l="1"/>
  <c r="O50" i="3"/>
  <c r="Q47" i="6" l="1"/>
  <c r="Q46" i="6"/>
  <c r="R48" i="6" s="1"/>
  <c r="S48" i="6" s="1"/>
  <c r="T48" i="6" s="1"/>
  <c r="I39" i="6"/>
  <c r="P38" i="6"/>
  <c r="O38" i="6"/>
  <c r="P43" i="6" s="1"/>
  <c r="J38" i="6"/>
  <c r="F38" i="6"/>
  <c r="N33" i="6"/>
  <c r="I33" i="6"/>
  <c r="I32" i="6"/>
  <c r="E38" i="6"/>
  <c r="I31" i="6"/>
  <c r="I25" i="6"/>
  <c r="G22" i="6"/>
  <c r="G17" i="6" s="1"/>
  <c r="I19" i="6"/>
  <c r="N11" i="6"/>
  <c r="M11" i="6"/>
  <c r="I11" i="6"/>
  <c r="H11" i="6"/>
  <c r="G11" i="6"/>
  <c r="E11" i="6"/>
  <c r="Q42" i="5"/>
  <c r="Q43" i="5" s="1"/>
  <c r="Q31" i="5"/>
  <c r="O31" i="5"/>
  <c r="I31" i="5"/>
  <c r="E31" i="5"/>
  <c r="H30" i="5"/>
  <c r="L28" i="5"/>
  <c r="H28" i="5"/>
  <c r="L27" i="5"/>
  <c r="H27" i="5"/>
  <c r="H25" i="5"/>
  <c r="L24" i="5"/>
  <c r="H24" i="5"/>
  <c r="L23" i="5"/>
  <c r="H23" i="5"/>
  <c r="H22" i="5"/>
  <c r="H21" i="5"/>
  <c r="M20" i="5"/>
  <c r="H20" i="5"/>
  <c r="M19" i="5"/>
  <c r="H19" i="5"/>
  <c r="H17" i="5" s="1"/>
  <c r="E17" i="5"/>
  <c r="H15" i="5"/>
  <c r="L31" i="5"/>
  <c r="D34" i="5"/>
  <c r="S50" i="4"/>
  <c r="T50" i="4" s="1"/>
  <c r="R50" i="4"/>
  <c r="Q50" i="4"/>
  <c r="Q49" i="4"/>
  <c r="E46" i="4"/>
  <c r="Q37" i="4"/>
  <c r="O37" i="4"/>
  <c r="L37" i="4"/>
  <c r="L40" i="4" s="1"/>
  <c r="I37" i="4"/>
  <c r="D37" i="4"/>
  <c r="H32" i="4"/>
  <c r="F30" i="4"/>
  <c r="K30" i="4" s="1"/>
  <c r="L29" i="4"/>
  <c r="H29" i="4"/>
  <c r="H27" i="4"/>
  <c r="L26" i="4"/>
  <c r="H26" i="4"/>
  <c r="H25" i="4"/>
  <c r="H24" i="4"/>
  <c r="M23" i="4"/>
  <c r="L23" i="4"/>
  <c r="H23" i="4"/>
  <c r="M22" i="4"/>
  <c r="H22" i="4"/>
  <c r="E20" i="4"/>
  <c r="E37" i="4" s="1"/>
  <c r="L18" i="4"/>
  <c r="H18" i="4"/>
  <c r="M17" i="4"/>
  <c r="H17" i="4"/>
  <c r="H16" i="4"/>
  <c r="L14" i="4"/>
  <c r="H14" i="4"/>
  <c r="L13" i="4"/>
  <c r="H13" i="4"/>
  <c r="H30" i="4" l="1"/>
  <c r="E45" i="4"/>
  <c r="H11" i="4"/>
  <c r="E41" i="6"/>
  <c r="E43" i="6" s="1"/>
  <c r="E39" i="6"/>
  <c r="D36" i="5"/>
  <c r="M37" i="4"/>
  <c r="L41" i="4" s="1"/>
  <c r="E48" i="4"/>
  <c r="M38" i="6"/>
  <c r="M41" i="6" s="1"/>
  <c r="L34" i="5"/>
  <c r="I22" i="6"/>
  <c r="I17" i="6" s="1"/>
  <c r="I38" i="6" s="1"/>
  <c r="D40" i="4"/>
  <c r="D42" i="4" s="1"/>
  <c r="H20" i="4"/>
  <c r="H37" i="4" s="1"/>
  <c r="H42" i="4" s="1"/>
  <c r="N38" i="6"/>
  <c r="M42" i="6" s="1"/>
  <c r="Q48" i="6"/>
  <c r="H36" i="5"/>
  <c r="O42" i="4" l="1"/>
  <c r="O43" i="4" s="1"/>
  <c r="N44" i="6"/>
  <c r="N45" i="6" s="1"/>
  <c r="M43" i="6"/>
  <c r="L44" i="4"/>
  <c r="J13" i="3"/>
  <c r="L13" i="3"/>
  <c r="H14" i="3"/>
  <c r="L14" i="3"/>
  <c r="M17" i="3"/>
  <c r="H19" i="3"/>
  <c r="M22" i="3"/>
  <c r="E23" i="3"/>
  <c r="H25" i="3"/>
  <c r="D25" i="3" s="1"/>
  <c r="M25" i="3"/>
  <c r="H26" i="3"/>
  <c r="D26" i="3" s="1"/>
  <c r="M26" i="3"/>
  <c r="H27" i="3"/>
  <c r="D27" i="3" s="1"/>
  <c r="M27" i="3"/>
  <c r="D28" i="3"/>
  <c r="H28" i="3"/>
  <c r="M28" i="3"/>
  <c r="H29" i="3"/>
  <c r="L29" i="3"/>
  <c r="D29" i="3" s="1"/>
  <c r="D30" i="3"/>
  <c r="H30" i="3"/>
  <c r="L30" i="3"/>
  <c r="H31" i="3"/>
  <c r="K31" i="3"/>
  <c r="L31" i="3" s="1"/>
  <c r="Q31" i="3"/>
  <c r="Q45" i="3" s="1"/>
  <c r="Q50" i="3" s="1"/>
  <c r="D32" i="3"/>
  <c r="H32" i="3"/>
  <c r="L32" i="3"/>
  <c r="H34" i="3"/>
  <c r="D34" i="3" s="1"/>
  <c r="M34" i="3"/>
  <c r="H35" i="3"/>
  <c r="D35" i="3" s="1"/>
  <c r="M35" i="3"/>
  <c r="H36" i="3"/>
  <c r="D36" i="3" s="1"/>
  <c r="M36" i="3"/>
  <c r="D38" i="3"/>
  <c r="H38" i="3"/>
  <c r="L38" i="3"/>
  <c r="H41" i="3"/>
  <c r="D41" i="3" s="1"/>
  <c r="L41" i="3"/>
  <c r="H43" i="3"/>
  <c r="L43" i="3"/>
  <c r="H44" i="3"/>
  <c r="D44" i="3" s="1"/>
  <c r="L44" i="3"/>
  <c r="E45" i="3"/>
  <c r="I45" i="3"/>
  <c r="O45" i="3"/>
  <c r="D63" i="3"/>
  <c r="D49" i="3" l="1"/>
  <c r="D31" i="3"/>
  <c r="L45" i="3"/>
  <c r="L48" i="3" s="1"/>
  <c r="M45" i="3"/>
  <c r="L49" i="3" s="1"/>
  <c r="H11" i="3"/>
  <c r="O51" i="3"/>
  <c r="H23" i="3"/>
  <c r="H45" i="3" s="1"/>
  <c r="H50" i="3" s="1"/>
  <c r="D48" i="3" l="1"/>
  <c r="D50" i="3" s="1"/>
  <c r="D62" i="3"/>
  <c r="D64" i="3" s="1"/>
  <c r="G123" i="7" l="1"/>
  <c r="G124" i="7" s="1"/>
  <c r="K123" i="7"/>
  <c r="G126" i="7" l="1"/>
  <c r="G128" i="7" s="1"/>
  <c r="I15" i="7"/>
  <c r="P36" i="7" l="1"/>
  <c r="O15" i="7"/>
  <c r="P15" i="7" l="1"/>
  <c r="P123" i="7" s="1"/>
  <c r="P126" i="7" s="1"/>
  <c r="Q129" i="7" l="1"/>
  <c r="Q130" i="7" s="1"/>
  <c r="D32" i="5"/>
  <c r="M4" i="7" l="1"/>
  <c r="S171" i="17" l="1"/>
  <c r="S173" i="17" l="1"/>
  <c r="D38" i="4" l="1"/>
  <c r="G167" i="17" l="1"/>
  <c r="U123" i="11" l="1"/>
  <c r="G9" i="18" l="1"/>
  <c r="G138" i="18" l="1"/>
  <c r="G134" i="18"/>
  <c r="G137" i="18" s="1"/>
  <c r="G139" i="18" s="1"/>
  <c r="Q141" i="18" l="1"/>
  <c r="M4" i="18"/>
  <c r="G135" i="18" l="1"/>
</calcChain>
</file>

<file path=xl/comments1.xml><?xml version="1.0" encoding="utf-8"?>
<comments xmlns="http://schemas.openxmlformats.org/spreadsheetml/2006/main">
  <authors>
    <author>Valene G. Miñoza</author>
  </authors>
  <commentList>
    <comment ref="C34" authorId="0" shapeId="0">
      <text>
        <r>
          <rPr>
            <b/>
            <sz val="9"/>
            <color indexed="81"/>
            <rFont val="Tahoma"/>
            <family val="2"/>
          </rPr>
          <t>Valene G. Miñoza:</t>
        </r>
        <r>
          <rPr>
            <sz val="9"/>
            <color indexed="81"/>
            <rFont val="Tahoma"/>
            <family val="2"/>
          </rPr>
          <t xml:space="preserve">
from subsidies
</t>
        </r>
      </text>
    </comment>
    <comment ref="C35" authorId="0" shapeId="0">
      <text>
        <r>
          <rPr>
            <b/>
            <sz val="9"/>
            <color indexed="81"/>
            <rFont val="Tahoma"/>
            <family val="2"/>
          </rPr>
          <t>Valene G. Miñoza:</t>
        </r>
        <r>
          <rPr>
            <sz val="9"/>
            <color indexed="81"/>
            <rFont val="Tahoma"/>
            <family val="2"/>
          </rPr>
          <t xml:space="preserve">
from subsidies</t>
        </r>
      </text>
    </comment>
  </commentList>
</comments>
</file>

<file path=xl/comments2.xml><?xml version="1.0" encoding="utf-8"?>
<comments xmlns="http://schemas.openxmlformats.org/spreadsheetml/2006/main">
  <authors>
    <author>Asus</author>
  </authors>
  <commentList>
    <comment ref="F31" authorId="0" shapeId="0">
      <text>
        <r>
          <rPr>
            <b/>
            <sz val="9"/>
            <rFont val="Times New Roman"/>
            <family val="1"/>
          </rPr>
          <t>Asus:</t>
        </r>
        <r>
          <rPr>
            <sz val="9"/>
            <rFont val="Times New Roman"/>
            <family val="1"/>
          </rPr>
          <t xml:space="preserve">
Carrying amount as of Dec 2021</t>
        </r>
      </text>
    </comment>
  </commentList>
</comments>
</file>

<file path=xl/comments3.xml><?xml version="1.0" encoding="utf-8"?>
<comments xmlns="http://schemas.openxmlformats.org/spreadsheetml/2006/main">
  <authors>
    <author>Valene G. Miñoza</author>
  </authors>
  <commentList>
    <comment ref="C35" authorId="0" shapeId="0">
      <text>
        <r>
          <rPr>
            <b/>
            <sz val="9"/>
            <color indexed="81"/>
            <rFont val="Tahoma"/>
            <family val="2"/>
          </rPr>
          <t>Valene G. Miñoza:</t>
        </r>
        <r>
          <rPr>
            <sz val="9"/>
            <color indexed="81"/>
            <rFont val="Tahoma"/>
            <family val="2"/>
          </rPr>
          <t xml:space="preserve">
from subsidies
</t>
        </r>
      </text>
    </comment>
    <comment ref="C36" authorId="0" shapeId="0">
      <text>
        <r>
          <rPr>
            <b/>
            <sz val="9"/>
            <color indexed="81"/>
            <rFont val="Tahoma"/>
            <family val="2"/>
          </rPr>
          <t>Valene G. Miñoza:</t>
        </r>
        <r>
          <rPr>
            <sz val="9"/>
            <color indexed="81"/>
            <rFont val="Tahoma"/>
            <family val="2"/>
          </rPr>
          <t xml:space="preserve">
from subsidies</t>
        </r>
      </text>
    </comment>
  </commentList>
</comments>
</file>

<file path=xl/comments4.xml><?xml version="1.0" encoding="utf-8"?>
<comments xmlns="http://schemas.openxmlformats.org/spreadsheetml/2006/main">
  <authors>
    <author>Valene G. Miñoza</author>
  </authors>
  <commentList>
    <comment ref="C35" authorId="0" shapeId="0">
      <text>
        <r>
          <rPr>
            <b/>
            <sz val="9"/>
            <color indexed="81"/>
            <rFont val="Tahoma"/>
            <family val="2"/>
          </rPr>
          <t>Valene G. Miñoza:</t>
        </r>
        <r>
          <rPr>
            <sz val="9"/>
            <color indexed="81"/>
            <rFont val="Tahoma"/>
            <family val="2"/>
          </rPr>
          <t xml:space="preserve">
from subsidies
</t>
        </r>
      </text>
    </comment>
    <comment ref="C36" authorId="0" shapeId="0">
      <text>
        <r>
          <rPr>
            <b/>
            <sz val="9"/>
            <color indexed="81"/>
            <rFont val="Tahoma"/>
            <family val="2"/>
          </rPr>
          <t>Valene G. Miñoza:</t>
        </r>
        <r>
          <rPr>
            <sz val="9"/>
            <color indexed="81"/>
            <rFont val="Tahoma"/>
            <family val="2"/>
          </rPr>
          <t xml:space="preserve">
from subsidies</t>
        </r>
      </text>
    </comment>
  </commentList>
</comments>
</file>

<file path=xl/sharedStrings.xml><?xml version="1.0" encoding="utf-8"?>
<sst xmlns="http://schemas.openxmlformats.org/spreadsheetml/2006/main" count="1977" uniqueCount="481">
  <si>
    <r>
      <t>Field Office____</t>
    </r>
    <r>
      <rPr>
        <b/>
        <u/>
        <sz val="12"/>
        <color theme="1"/>
        <rFont val="Arial"/>
        <family val="2"/>
      </rPr>
      <t>10</t>
    </r>
    <r>
      <rPr>
        <b/>
        <sz val="12"/>
        <color theme="1"/>
        <rFont val="Arial"/>
        <family val="2"/>
      </rPr>
      <t>__</t>
    </r>
  </si>
  <si>
    <t>Breakdown of Accumulated Surplus/(Deficit)</t>
  </si>
  <si>
    <t>Fund Cluster 1</t>
  </si>
  <si>
    <t>Particulars</t>
  </si>
  <si>
    <t>Amount</t>
  </si>
  <si>
    <t>AFFECTED ACCOUNTS</t>
  </si>
  <si>
    <t>CY 2020 and Prior Years Adjustments affecting ASD Beg. Bal.</t>
  </si>
  <si>
    <t>INCOME STATEMENT</t>
  </si>
  <si>
    <t>BALANCE SHEET</t>
  </si>
  <si>
    <t>Account</t>
  </si>
  <si>
    <t>Debit</t>
  </si>
  <si>
    <t>Credit</t>
  </si>
  <si>
    <t>Net Effect</t>
  </si>
  <si>
    <t>Net Effect on Assets</t>
  </si>
  <si>
    <t>Net Effect on Liabilities</t>
  </si>
  <si>
    <t>Accumulated Surplus/(Deficit), Beginning Balance 1/1/2022</t>
  </si>
  <si>
    <t>INCOME of prior years</t>
  </si>
  <si>
    <t>Under-recording/understatement of income of prior years:</t>
  </si>
  <si>
    <t>unrecorded liquidated damages</t>
  </si>
  <si>
    <t>Miscellaneous income</t>
  </si>
  <si>
    <t>Due to Pag-ibig</t>
  </si>
  <si>
    <t xml:space="preserve"> Adjustment on LGU liquidation of prior years</t>
  </si>
  <si>
    <t>Due from LGU</t>
  </si>
  <si>
    <t>EXPENSES of prior years</t>
  </si>
  <si>
    <t>Under-recording/understatement of expenses of prior years:</t>
  </si>
  <si>
    <t>Accounts payable</t>
  </si>
  <si>
    <t>Salaries and Wages - Casual and Contracutal</t>
  </si>
  <si>
    <t>Retirement and Life Insurance Premiums</t>
  </si>
  <si>
    <t>Traveling Expense-Local</t>
  </si>
  <si>
    <t>Training Expenses</t>
  </si>
  <si>
    <t>Office Supplies Expenses</t>
  </si>
  <si>
    <t>Food Supplies Expenses</t>
  </si>
  <si>
    <t>Food Supplies Inventory</t>
  </si>
  <si>
    <t xml:space="preserve">Other Supplies and Materials Expenses </t>
  </si>
  <si>
    <t>Subsidies - Others</t>
  </si>
  <si>
    <t xml:space="preserve">Other Supplies and Materials for Distribution </t>
  </si>
  <si>
    <t>Welfare Goods for Distribution</t>
  </si>
  <si>
    <t>Fuel, Oil and Lubricants Expenses</t>
  </si>
  <si>
    <t>Water Expenses</t>
  </si>
  <si>
    <t>Electricity Expenses</t>
  </si>
  <si>
    <t>Insurance Expenses</t>
  </si>
  <si>
    <t>Internet Subscription Expenses</t>
  </si>
  <si>
    <t>Representation Expenses</t>
  </si>
  <si>
    <t>Drugs and Medicines Expenses</t>
  </si>
  <si>
    <t>Semi-Expendable Office Equipment</t>
  </si>
  <si>
    <t>Semi-Expendable Machinery and Equipment Expenses - ICT Equipment</t>
  </si>
  <si>
    <t>Security Services</t>
  </si>
  <si>
    <t>Other Professional Services</t>
  </si>
  <si>
    <t>Repairs and Maintenance - Building and Other Structures - Buildings</t>
  </si>
  <si>
    <t>Repairs and Maintenance - Transportation Equipment - Motor Vehicles</t>
  </si>
  <si>
    <t>Labor and Wages</t>
  </si>
  <si>
    <t>Other Maintenance and Operating Expenses</t>
  </si>
  <si>
    <t>Printing and Publication Expenses</t>
  </si>
  <si>
    <t>Depreciation - Office Equipment</t>
  </si>
  <si>
    <t>Over-recording/overstatement of expenses of prior years:</t>
  </si>
  <si>
    <t>Other MOOE</t>
  </si>
  <si>
    <t>Telephone Expenses-Mobile</t>
  </si>
  <si>
    <t>Accumulated Depreciation Lease Assets, Machinery &amp; Equipment</t>
  </si>
  <si>
    <t>Liquidation of Prior Year's Cash advances and Fund Transfer:</t>
  </si>
  <si>
    <t>liquidation of LGUs</t>
  </si>
  <si>
    <t>Due from LGUs</t>
  </si>
  <si>
    <t>liquidation of advances to SDOs</t>
  </si>
  <si>
    <t>Advances to SDOs</t>
  </si>
  <si>
    <t>liquidation of PCF</t>
  </si>
  <si>
    <t>Petty Cash Fund</t>
  </si>
  <si>
    <t>liquidation of Advances for Payroll</t>
  </si>
  <si>
    <t>Advances for Payroll</t>
  </si>
  <si>
    <t>Liquidation of NGOs/POs of prior years fund transfer</t>
  </si>
  <si>
    <t>Due from NGOs/Pos</t>
  </si>
  <si>
    <t>Due from NGAs</t>
  </si>
  <si>
    <t>Other Adjustments:</t>
  </si>
  <si>
    <t>Semi-Expendable Information and Communications Tech. Equipment</t>
  </si>
  <si>
    <t>Motor Vehicles</t>
  </si>
  <si>
    <t>Accounts Payable</t>
  </si>
  <si>
    <t>Adjustment to PYA accounts:</t>
  </si>
  <si>
    <t>Adjustment to Fin. Performance CY 2022:</t>
  </si>
  <si>
    <t>Adjustment to Fin. Position CY 2022:</t>
  </si>
  <si>
    <t>Adjustment to ASD Beg. Bal.</t>
  </si>
  <si>
    <t>Ending ASD</t>
  </si>
  <si>
    <t>Asset</t>
  </si>
  <si>
    <t>Beginning ASD</t>
  </si>
  <si>
    <t>Liabilities</t>
  </si>
  <si>
    <t>Prior Years Adjustment</t>
  </si>
  <si>
    <t>Income less Expenses</t>
  </si>
  <si>
    <t>ASD</t>
  </si>
  <si>
    <t>Net Assets</t>
  </si>
  <si>
    <t>july</t>
  </si>
  <si>
    <t>aug</t>
  </si>
  <si>
    <t>Prepared by:</t>
  </si>
  <si>
    <t>Certified correct:</t>
  </si>
  <si>
    <t>HANILYN T. CIMAFRANCA, CPA</t>
  </si>
  <si>
    <t>Administrative Officer II</t>
  </si>
  <si>
    <t>Regional Accountant</t>
  </si>
  <si>
    <t xml:space="preserve">Overbooking of liquidation of NGOs/POs of prior year fund transfer </t>
  </si>
  <si>
    <t>Liquidation of LGUs of prior years fund transfer</t>
  </si>
  <si>
    <t>Remittance of unremitted withheld taxes of Prior Years</t>
  </si>
  <si>
    <t>unrecorded training expense</t>
  </si>
  <si>
    <t>underrecorded advertising expenses</t>
  </si>
  <si>
    <t>underrecorded other professional services</t>
  </si>
  <si>
    <t>underrecorded representation expenses</t>
  </si>
  <si>
    <t>unrecorded semi-expendable ICT expense</t>
  </si>
  <si>
    <t>unrecorded depreciation expenses- Office Equipment</t>
  </si>
  <si>
    <t>reclassification of PPE to Semi-Expendable</t>
  </si>
  <si>
    <t>unrecorded semi-expendable furniture &amp; fixtures expense</t>
  </si>
  <si>
    <t>over-recording of training expenses</t>
  </si>
  <si>
    <t>Due to PHIC</t>
  </si>
  <si>
    <t>Other Payable</t>
  </si>
  <si>
    <t>over-recording of depreciation expense</t>
  </si>
  <si>
    <t>unrecorded interest income and deposit to BTr on bank deposits</t>
  </si>
  <si>
    <t>Financial Analyst III (SOE)</t>
  </si>
  <si>
    <t>Name</t>
  </si>
  <si>
    <t>DAHLIA T. DIMAOCOR</t>
  </si>
  <si>
    <t>Reviewed by:</t>
  </si>
  <si>
    <t>Adjustment to ASD beg. Bal.</t>
  </si>
  <si>
    <t>Adjustment to Fin. Position CY 2021:</t>
  </si>
  <si>
    <t>Adjustment to Fin. Performance CY 2021:</t>
  </si>
  <si>
    <t>Note: sample entries</t>
  </si>
  <si>
    <t>Balance as of December 31, 2022</t>
  </si>
  <si>
    <t>Due from NGOs/POs</t>
  </si>
  <si>
    <t xml:space="preserve">Underbooking of liquidation of LGUs of prior year fund transfer </t>
  </si>
  <si>
    <t>Liquidation of SDOs</t>
  </si>
  <si>
    <t>Accum. Dep.- ICT</t>
  </si>
  <si>
    <t>Error recording expense should be inventory</t>
  </si>
  <si>
    <t>Semi- Expendable- Furniture &amp; Fixtures</t>
  </si>
  <si>
    <t>Property, Plant &amp; Equipment</t>
  </si>
  <si>
    <t>Accum. Dep. - Office Equipment</t>
  </si>
  <si>
    <t>Semi- Expendable- ICT</t>
  </si>
  <si>
    <t>Advertising Expenses</t>
  </si>
  <si>
    <t>Due to BIR</t>
  </si>
  <si>
    <t>Return of Unutilized Funds of Prior Years</t>
  </si>
  <si>
    <t>Other Adjustments</t>
  </si>
  <si>
    <t>unrecorded adjustment for the remittance of interest income</t>
  </si>
  <si>
    <t>error (overstatement) in recording donations</t>
  </si>
  <si>
    <t>staled check of prior year (MDS) with intention to replace</t>
  </si>
  <si>
    <t>Over-recording/overstatement of income of prior years:</t>
  </si>
  <si>
    <t>specify</t>
  </si>
  <si>
    <t>unrecorded community refunds</t>
  </si>
  <si>
    <t>Others
(Closing of Cash, Treasury/ Agency Deposit, Regular and Transfer of PPE</t>
  </si>
  <si>
    <t>Fund Cluster 102 (Consolidated)</t>
  </si>
  <si>
    <t>As at December 31, 2022</t>
  </si>
  <si>
    <r>
      <rPr>
        <b/>
        <sz val="12"/>
        <color theme="1"/>
        <rFont val="Arial"/>
        <family val="2"/>
      </rPr>
      <t xml:space="preserve">Field Office No. </t>
    </r>
    <r>
      <rPr>
        <b/>
        <u/>
        <sz val="12"/>
        <color theme="1"/>
        <rFont val="Arial"/>
        <family val="2"/>
      </rPr>
      <t>X</t>
    </r>
  </si>
  <si>
    <t>Fund Cluster 4</t>
  </si>
  <si>
    <t>Interest income</t>
  </si>
  <si>
    <t>Cash, LCCA</t>
  </si>
  <si>
    <t xml:space="preserve">unrecorded donations </t>
  </si>
  <si>
    <t>Income from Grants</t>
  </si>
  <si>
    <t>Subsidy from NG</t>
  </si>
  <si>
    <t>unrecorded travelling expenses</t>
  </si>
  <si>
    <t>Travelling</t>
  </si>
  <si>
    <t>Remittance to BTr</t>
  </si>
  <si>
    <t>Other Payables</t>
  </si>
  <si>
    <t>supplies expense</t>
  </si>
  <si>
    <t>Supplies Inventory</t>
  </si>
  <si>
    <t>Subsidies</t>
  </si>
  <si>
    <t>Liquidation of LGUs</t>
  </si>
  <si>
    <t xml:space="preserve">as of 3rd </t>
  </si>
  <si>
    <t xml:space="preserve">total 3rd </t>
  </si>
  <si>
    <t>Fund Cluster 6</t>
  </si>
  <si>
    <t>unrecorded Service Charge</t>
  </si>
  <si>
    <t>Service Charge</t>
  </si>
  <si>
    <t>close remittance to BTr</t>
  </si>
  <si>
    <t>BTr</t>
  </si>
  <si>
    <t>Error recording Service Charge</t>
  </si>
  <si>
    <t>receipt of rollback from SLPAs</t>
  </si>
  <si>
    <t>Field Office X</t>
  </si>
  <si>
    <t>Fund Cluster 7</t>
  </si>
  <si>
    <t>CY 2021. and Prior Years Adjustments affecting ASD Beg. Bal.</t>
  </si>
  <si>
    <t>Unrecorded liquidated damages</t>
  </si>
  <si>
    <t>Other Receivables</t>
  </si>
  <si>
    <t xml:space="preserve"> Unrecorded scrap sale</t>
  </si>
  <si>
    <t>Overrecorded liquidated damages</t>
  </si>
  <si>
    <t>Over recording of Other MOOE</t>
  </si>
  <si>
    <t xml:space="preserve">Other MOOE </t>
  </si>
  <si>
    <t>Cash in Bank-Local Currency, Current Account - DBP</t>
  </si>
  <si>
    <t xml:space="preserve">Cash, Agency Deposits, Trust </t>
  </si>
  <si>
    <t>for restatement AS ang bangga and then ang naa sa BS</t>
  </si>
  <si>
    <t>Due to Centra Office</t>
  </si>
  <si>
    <t xml:space="preserve">  Depreciation-Building</t>
  </si>
  <si>
    <t>Depreciation-Building</t>
  </si>
  <si>
    <t>Accumulated Depreciation-Building</t>
  </si>
  <si>
    <t>Liquidation of Prior Year's Receipt of Trust Funds:</t>
  </si>
  <si>
    <t>liquidations to Central Office - Kapatiran</t>
  </si>
  <si>
    <t>Due to CO</t>
  </si>
  <si>
    <t>Liquidations to Central Office - CCL</t>
  </si>
  <si>
    <t>liquidation of advances to SDO</t>
  </si>
  <si>
    <t>sept</t>
  </si>
  <si>
    <t xml:space="preserve">2nd quarter </t>
  </si>
  <si>
    <t>JADE V. LUSTRE, CPA</t>
  </si>
  <si>
    <t>Accumulated Surplus/(Deficit), Beginning Balance 1/1/2023</t>
  </si>
  <si>
    <t>Balance as of March 31, 2023</t>
  </si>
  <si>
    <t>Due to Philhealth</t>
  </si>
  <si>
    <t>Account Code</t>
  </si>
  <si>
    <t>ICT Office Supplies Expenses</t>
  </si>
  <si>
    <t>Postage and Courier Services</t>
  </si>
  <si>
    <t>CY 2021 and Prior Years Adjustments affecting ASD Beg. Bal.</t>
  </si>
  <si>
    <t>Closing of FC 4  to FC1</t>
  </si>
  <si>
    <t>UACS Code</t>
  </si>
  <si>
    <t>Overstatement on COS</t>
  </si>
  <si>
    <t>Erroneous entry on accounts payable</t>
  </si>
  <si>
    <t>Cash, LCCA - LBP</t>
  </si>
  <si>
    <t>Adjustment:</t>
  </si>
  <si>
    <t>Unrecorded PhilHealth Remittance</t>
  </si>
  <si>
    <t>Janitorial Services</t>
  </si>
  <si>
    <t>Semi-Expendable Machinery and Equipment Expenses - Office Equipment</t>
  </si>
  <si>
    <t>Prizes</t>
  </si>
  <si>
    <t>over-recorded liquidation for welfare goods held for distribution</t>
  </si>
  <si>
    <t>As of June 30, 2023</t>
  </si>
  <si>
    <t>Remittance to Bureau of Treasury</t>
  </si>
  <si>
    <t>VALENE G. MIÑOZA</t>
  </si>
  <si>
    <t>Welfare Goods Expenses</t>
  </si>
  <si>
    <t>This is a wrong entry on Check ADA DJ, this should have been Welfare Goods for Distribution c/o Kyra on recon if this has already been taken up for adjustment update: For JEV on June 2023 by Kyra</t>
  </si>
  <si>
    <t>Rent/Lease Expenses - Motor Vehicles</t>
  </si>
  <si>
    <t xml:space="preserve">Miscellaneous Income </t>
  </si>
  <si>
    <t>Medical,Dental &amp; Laboratory Supplies Expenses</t>
  </si>
  <si>
    <t xml:space="preserve">Medical, Dental and Laboratory Supplies Inventory </t>
  </si>
  <si>
    <t>Semi-expendable Furniture and Fixtures Expenses</t>
  </si>
  <si>
    <t>Semi-Expendable Furniture and Fixtures</t>
  </si>
  <si>
    <t>Semi-Expendable - Other Machinery and Equipment Expenses</t>
  </si>
  <si>
    <t>Semi-Expendable Other Machinery and Equipment</t>
  </si>
  <si>
    <t>Semi-expendable Machinery and Equipment Expenses - Communications Equipment</t>
  </si>
  <si>
    <t xml:space="preserve">Semi-Expendable Communication Equipment </t>
  </si>
  <si>
    <t>Rent/Lease Expenses - Buildings and Structures</t>
  </si>
  <si>
    <t>Semi-expendable Machinery and Equipment Expenses - Machinery</t>
  </si>
  <si>
    <t>Semi-Expendable Machinery</t>
  </si>
  <si>
    <t>Semi-expendable Machinery and Equipment Expenses - Medical Equipment</t>
  </si>
  <si>
    <t>Semi-Expendable - Medical Equipment</t>
  </si>
  <si>
    <t>Due to Pag-Ibig Premium</t>
  </si>
  <si>
    <t>Reclassification of Due to Philhealth to Due to Pag Ibig</t>
  </si>
  <si>
    <t>Depreciation - IT Equipment</t>
  </si>
  <si>
    <t>Accumulated Depreciation-Information and Communication Technology Equipment</t>
  </si>
  <si>
    <t xml:space="preserve">Due to GSIS - Life and Retirement Premium </t>
  </si>
  <si>
    <t>Salaries and Wages-Contractual</t>
  </si>
  <si>
    <t xml:space="preserve">Double booking of Due to GSIS - Life and Retirement Premium </t>
  </si>
  <si>
    <t>Double booking of Due to Pag Ibig MPL</t>
  </si>
  <si>
    <t>Due to PAG-IBIG Multi Purpose Loan</t>
  </si>
  <si>
    <t>Double booking of Due to Pag Ibig Premium</t>
  </si>
  <si>
    <t>Due to PAG-IBIG - Premium</t>
  </si>
  <si>
    <t>Erroneous entry on Due to Pag Ibig Premium</t>
  </si>
  <si>
    <t>PAG-IBIG Contributions (Civilian)</t>
  </si>
  <si>
    <t xml:space="preserve">Erroneous entry on Salaries Wages - Contractual </t>
  </si>
  <si>
    <t xml:space="preserve">Due to Philhealth </t>
  </si>
  <si>
    <t>Erroneous entry on Accounts Payable for CY 2020</t>
  </si>
  <si>
    <t>Semi-Expendable Information and Communications Technology Equipment</t>
  </si>
  <si>
    <t>Transportation and Delivery Expenses</t>
  </si>
  <si>
    <t xml:space="preserve">Due to GSIS -  Life and Retirement Premium </t>
  </si>
  <si>
    <t>Due to Pag-ibig - Premium</t>
  </si>
  <si>
    <t>As of September 30, 2023</t>
  </si>
  <si>
    <t>Semi-Expendable Technical and Scientific equipment</t>
  </si>
  <si>
    <t>Other Supplies Inventory</t>
  </si>
  <si>
    <t>Other Supplies and Materials Expenses</t>
  </si>
  <si>
    <t>Fund Cluster 3</t>
  </si>
  <si>
    <t>MDS CHECK DJ</t>
  </si>
  <si>
    <t>GOP CHECK DJ</t>
  </si>
  <si>
    <t>LGU LIQUIDATION</t>
  </si>
  <si>
    <t xml:space="preserve">GJ </t>
  </si>
  <si>
    <t>TOTAL</t>
  </si>
  <si>
    <t>JULY MDS</t>
  </si>
  <si>
    <t>JULY GOP</t>
  </si>
  <si>
    <t>JULY GJ</t>
  </si>
  <si>
    <t>Semi-expendable Technical and Scientific Expenses</t>
  </si>
  <si>
    <t>Semi-expendable Technical and Scientific</t>
  </si>
  <si>
    <t>Depreciation Lease Assets, Machinery &amp; Equipment</t>
  </si>
  <si>
    <t xml:space="preserve">LIQUIDATION OF NGAS </t>
  </si>
  <si>
    <t>Liquidation of Other Receivables</t>
  </si>
  <si>
    <t>Bank Charges</t>
  </si>
  <si>
    <t>Cash in Bank-Local Currency, Current Account - LBP</t>
  </si>
  <si>
    <t>Erroneous entry on Trust Liabilities CY 2020 &amp; 2021</t>
  </si>
  <si>
    <t>Trust Liabilities</t>
  </si>
  <si>
    <t>Drugs and Medicines Inventory</t>
  </si>
  <si>
    <t>Office Supplies Inventory</t>
  </si>
  <si>
    <t>Due to NGA's</t>
  </si>
  <si>
    <t>Balance as of December 31, 2023</t>
  </si>
  <si>
    <t>CY 2023 and Prior Years Adjustments affecting ASD Beg. Bal.</t>
  </si>
  <si>
    <t xml:space="preserve">Transfer of Due from NGO's/PO's from FC 2 to FC 1 </t>
  </si>
  <si>
    <t xml:space="preserve">Transfer of Prepaid Rent account from FC 2 to FC 1 </t>
  </si>
  <si>
    <t>Prepaid Rent</t>
  </si>
  <si>
    <t>Due from Non-Government Organizations/Civil Society Organizations</t>
  </si>
  <si>
    <t>Row Labels</t>
  </si>
  <si>
    <t>Grand Total</t>
  </si>
  <si>
    <t>Erroneous booking of Salaries Wages Cont instead of Due to Pag Ibig MPL FY 2021</t>
  </si>
  <si>
    <t>Reversion of outstanding Accounts Payable Year CY 2021 per EO 87 and  JC No. 1 series 2021</t>
  </si>
  <si>
    <t>To recognize reversion of Accounts Payable or Due &amp; Demandable Obligations to the Accumulated Surplus/Defecit as per (COA-DBM JOINT CIRCULAR NO. 1, Series of 2021)</t>
  </si>
  <si>
    <t>Information and Communication Technology Equipment</t>
  </si>
  <si>
    <t>Income from Grants and Donations in Kind</t>
  </si>
  <si>
    <t>Other Structures</t>
  </si>
  <si>
    <t>Subsidy from Central Office</t>
  </si>
  <si>
    <t xml:space="preserve">Other Paybales </t>
  </si>
  <si>
    <t xml:space="preserve">To revert the account balance since April 2019 under Fund Cluster 7 which was booked to OTHER PAYABLES </t>
  </si>
  <si>
    <t>Reversion of GOCC from August 2020 report</t>
  </si>
  <si>
    <t>Due to Other GOCCs</t>
  </si>
  <si>
    <t>Underbooking of Guaranty Security Payable due to erroneous entry to Cash Constructive Disbursements</t>
  </si>
  <si>
    <t xml:space="preserve">Cash Constructive Disbursement </t>
  </si>
  <si>
    <t>Guaranty Security Payable</t>
  </si>
  <si>
    <t>Recor depreciation of Motor vehicles</t>
  </si>
  <si>
    <t>Closing of FC 2 (World Bank) to FC 1</t>
  </si>
  <si>
    <t>Office Equipment</t>
  </si>
  <si>
    <t xml:space="preserve">Closing of FC 4  to FC1 - FC 1 </t>
  </si>
  <si>
    <t>Closing of FC 4  to FC1 - FC 4</t>
  </si>
  <si>
    <t>setting up and settlement of unrecorded disallowance dated 8/12/2016 (GOP AF)</t>
  </si>
  <si>
    <t>over-recording of training expenses as accounts payable  PY 2021 (WB AF)</t>
  </si>
  <si>
    <t>over-recording of other professional services as accounts payavble PY 2021 (WB AF)</t>
  </si>
  <si>
    <t>transfer of NGOs/CSOs ending balance to Fund Cluster 1 books</t>
  </si>
  <si>
    <t>transfer of office equipment's net carrying amount balance to Fund Cluster 1 books</t>
  </si>
  <si>
    <t>transfer of ICT's carrying amount balance to Fund Cluster 1 books</t>
  </si>
  <si>
    <t>transfer of prepaid rent balance to Fund Cluster 1 books</t>
  </si>
  <si>
    <t xml:space="preserve">Overbooking liquidation of NGOs/CSOs of prior year fund transfer </t>
  </si>
  <si>
    <t xml:space="preserve">Underbooking of liquidation of NGOs/CSOs of prior year fund transfer </t>
  </si>
  <si>
    <t xml:space="preserve">To recognize reversion of Due to PAG-IBIG to the Accumulated Surplus/Deficit </t>
  </si>
  <si>
    <t xml:space="preserve">To recognize reversion of Due to PHIC to the Accumulated Surplus/Deficit </t>
  </si>
  <si>
    <t xml:space="preserve">To recognize reversion of Due to GOCCs to the Accumulated Surplus/Deficit </t>
  </si>
  <si>
    <t xml:space="preserve">To recognize reversion of Due to Other Payables to the Accumulated Surplus/Deficit </t>
  </si>
  <si>
    <t>Liquidation of NGOs/CSOs of prior years fund transfer</t>
  </si>
  <si>
    <t>Receivables-Disallowances/Charges</t>
  </si>
  <si>
    <t>Due from NGOs/CSOs</t>
  </si>
  <si>
    <t>Due to PAG-IBIG</t>
  </si>
  <si>
    <t>Due to GOCCs</t>
  </si>
  <si>
    <t>unrecorded printing and publication expenses</t>
  </si>
  <si>
    <t>unrecorded medical, dental &amp; laboratory expenses</t>
  </si>
  <si>
    <t>underrecorded telephone-mobile expenses</t>
  </si>
  <si>
    <t xml:space="preserve">unrecorded Repairs &amp; Maintenance - Motor Vehicle </t>
  </si>
  <si>
    <t xml:space="preserve">unrecorded Repairs &amp; Maintenance - Information and Technology Equipment </t>
  </si>
  <si>
    <t>unrecorded Rent Expense - Motor Vehicles</t>
  </si>
  <si>
    <t>unrecorded Office Supplies Expense</t>
  </si>
  <si>
    <t>Printing and Publication Expense</t>
  </si>
  <si>
    <t>Medical,Dental &amp; Lab Supplies</t>
  </si>
  <si>
    <t>Representation Expense</t>
  </si>
  <si>
    <t>Telephone Expense- Mobile</t>
  </si>
  <si>
    <t>Repairs and Maintenance - Motor Vehicle</t>
  </si>
  <si>
    <t>Repairs and Maintenance - Information and Technology Equipment</t>
  </si>
  <si>
    <t>Rent Expense - Motor Vehicles</t>
  </si>
  <si>
    <t>Office Supplies Expense</t>
  </si>
  <si>
    <t>over recording of subisidies (erroneous setting up of accounts payable)</t>
  </si>
  <si>
    <t>over-recording of other professional services</t>
  </si>
  <si>
    <t xml:space="preserve">Overbooking liquidation of LGUs from prior year fund transfer </t>
  </si>
  <si>
    <t>ICT Equipment</t>
  </si>
  <si>
    <t>Accumulated Depreciation - Office Equipment</t>
  </si>
  <si>
    <t>Accumulated Depreciation - ICT Equipment</t>
  </si>
  <si>
    <t>JANUARY 2024</t>
  </si>
  <si>
    <t>PCF LIQUIDATION</t>
  </si>
  <si>
    <t xml:space="preserve">CHECK ADA DJ MDS </t>
  </si>
  <si>
    <t xml:space="preserve">Sum of -124,970.56 </t>
  </si>
  <si>
    <t xml:space="preserve">Sum of -783,135.31 </t>
  </si>
  <si>
    <t xml:space="preserve">BREAKDOWN OF GJ </t>
  </si>
  <si>
    <t>KYRA</t>
  </si>
  <si>
    <t xml:space="preserve">Sum of -3,564,509.92 </t>
  </si>
  <si>
    <t>GENNY</t>
  </si>
  <si>
    <t>OMAE</t>
  </si>
  <si>
    <t>EVE</t>
  </si>
  <si>
    <t xml:space="preserve">Other Supplies Inventory </t>
  </si>
  <si>
    <t>FEBRUARY 2024</t>
  </si>
  <si>
    <t xml:space="preserve">Sum of -2,361,246.75 </t>
  </si>
  <si>
    <t xml:space="preserve">Sum of -956,139.58 </t>
  </si>
  <si>
    <t>VALENE</t>
  </si>
  <si>
    <t>Repairs and Maintenance - Machinery and Equipment - IT Equipment</t>
  </si>
  <si>
    <t xml:space="preserve">Sum of -2,580,493.27 </t>
  </si>
  <si>
    <t xml:space="preserve">Sum of -2,139,728.45 </t>
  </si>
  <si>
    <t>Prepaid Insurance</t>
  </si>
  <si>
    <t>.</t>
  </si>
  <si>
    <t>CRJ</t>
  </si>
  <si>
    <t xml:space="preserve">Sum of -6,252,875.05 </t>
  </si>
  <si>
    <t>Maintenance and Other Operating Expenses</t>
  </si>
  <si>
    <t xml:space="preserve">Sum of  10,965,887.49 </t>
  </si>
  <si>
    <t xml:space="preserve">SDO LIQUIDATION </t>
  </si>
  <si>
    <t>Accumulated Surplus/(Deficit), Beginning Balance 1/1/2024</t>
  </si>
  <si>
    <t>CY 2022 and Prior Years Adjustments affecting ASD Beg. Bal.</t>
  </si>
  <si>
    <t>Honoraria (Civilian)</t>
  </si>
  <si>
    <t xml:space="preserve">Other Maintenanance and Operating Expenses </t>
  </si>
  <si>
    <t xml:space="preserve">ADJUSTMENTS EDSEL ON AP </t>
  </si>
  <si>
    <t xml:space="preserve">Jade's Adjustments </t>
  </si>
  <si>
    <t>Depreciation - Other Structures</t>
  </si>
  <si>
    <t>Accumulated Depreciation Depreciation - Other Structures</t>
  </si>
  <si>
    <t xml:space="preserve">Omae's WGFD </t>
  </si>
  <si>
    <t xml:space="preserve">Sum of -8,817,353.10 </t>
  </si>
  <si>
    <t>Eve's OMFD</t>
  </si>
  <si>
    <t xml:space="preserve">Subsidies-Others </t>
  </si>
  <si>
    <t>April 2024</t>
  </si>
  <si>
    <t xml:space="preserve">Sum of -17,639,654.57 </t>
  </si>
  <si>
    <t xml:space="preserve">Eve GJ </t>
  </si>
  <si>
    <t xml:space="preserve">Total </t>
  </si>
  <si>
    <t xml:space="preserve">Kyra GJ </t>
  </si>
  <si>
    <t xml:space="preserve">Shiela GJ </t>
  </si>
  <si>
    <t xml:space="preserve">EDSEL GJ </t>
  </si>
  <si>
    <t xml:space="preserve">MARILET GJ </t>
  </si>
  <si>
    <t>Adjustment to Fin. Performance CY 2023:</t>
  </si>
  <si>
    <t>Adjustment to Fin. Position CY 2023:</t>
  </si>
  <si>
    <t>SDO LIQUIDATION</t>
  </si>
  <si>
    <t>OMAE GJ</t>
  </si>
  <si>
    <t>Liquidations of NGOs Pos</t>
  </si>
  <si>
    <t>JADE'S GJ</t>
  </si>
  <si>
    <t>YEAR 2019</t>
  </si>
  <si>
    <t>YEAR 2018</t>
  </si>
  <si>
    <t xml:space="preserve">ATE CARLYN'S GJ </t>
  </si>
  <si>
    <t>YEAR 2022</t>
  </si>
  <si>
    <t xml:space="preserve">Sum of -6,395,389.35 </t>
  </si>
  <si>
    <t>Semi-Expendable Sports equipment</t>
  </si>
  <si>
    <t>Semi-Expendable Machinery and Equipment Expenses Sports Equipment</t>
  </si>
  <si>
    <t>Accumulated Depreciation-Buildings</t>
  </si>
  <si>
    <t xml:space="preserve">Accumulated Surplus/Deficit </t>
  </si>
  <si>
    <t>Construction in Progress - Buildings and Other Structures</t>
  </si>
  <si>
    <t>May 2024</t>
  </si>
  <si>
    <t xml:space="preserve">Sum of -871,078.46 </t>
  </si>
  <si>
    <t>5010102000</t>
  </si>
  <si>
    <t xml:space="preserve">Sum of -695,938.21 </t>
  </si>
  <si>
    <t xml:space="preserve">OMAE </t>
  </si>
  <si>
    <t xml:space="preserve">EVE </t>
  </si>
  <si>
    <t xml:space="preserve">TOTAL </t>
  </si>
  <si>
    <t xml:space="preserve">Kyra </t>
  </si>
  <si>
    <t xml:space="preserve">Marilet </t>
  </si>
  <si>
    <t>5021199000</t>
  </si>
  <si>
    <t xml:space="preserve">Carlyn </t>
  </si>
  <si>
    <t xml:space="preserve">Edsel </t>
  </si>
  <si>
    <t>5021499000</t>
  </si>
  <si>
    <t xml:space="preserve">Valene </t>
  </si>
  <si>
    <t>5020101002</t>
  </si>
  <si>
    <t>5020201002</t>
  </si>
  <si>
    <t xml:space="preserve">WITH NEGATIVE BALANCE </t>
  </si>
  <si>
    <t xml:space="preserve">TRANSFERRED TO EXPENSE AND AP </t>
  </si>
  <si>
    <t xml:space="preserve">Jade </t>
  </si>
  <si>
    <t xml:space="preserve">Shiela Morales </t>
  </si>
  <si>
    <t>Jade CIP</t>
  </si>
  <si>
    <t xml:space="preserve">MDS CHECK ADAD DJ </t>
  </si>
  <si>
    <t xml:space="preserve">Sum of -5,408,065.55 </t>
  </si>
  <si>
    <t>June 2024</t>
  </si>
  <si>
    <t xml:space="preserve">Omae </t>
  </si>
  <si>
    <t xml:space="preserve">Eve </t>
  </si>
  <si>
    <t xml:space="preserve">VL SDO </t>
  </si>
  <si>
    <t xml:space="preserve">SDO </t>
  </si>
  <si>
    <t>PCF</t>
  </si>
  <si>
    <t>JESSICA</t>
  </si>
  <si>
    <t>July 2024</t>
  </si>
  <si>
    <t>Check ADA DJ GOP</t>
  </si>
  <si>
    <t xml:space="preserve">KYRA </t>
  </si>
  <si>
    <t>VL</t>
  </si>
  <si>
    <t xml:space="preserve">JESSICA </t>
  </si>
  <si>
    <t xml:space="preserve">Liquidation of LGU </t>
  </si>
  <si>
    <t xml:space="preserve">Ate Marilet's AJE </t>
  </si>
  <si>
    <t>Salaries and Wages - Casual and Contractual</t>
  </si>
  <si>
    <t>Liquidation of NGOs Pos</t>
  </si>
  <si>
    <t>Liquidation of Non-Government Organizations/Civil Society Organizations</t>
  </si>
  <si>
    <t>Field Office 10</t>
  </si>
  <si>
    <t>liquidation of Petty Cash Fund</t>
  </si>
  <si>
    <t>liquidation of Local Government Units</t>
  </si>
  <si>
    <t>liquidation of Local Government Units Prior Years</t>
  </si>
  <si>
    <t>August 2024</t>
  </si>
  <si>
    <t>Check ADA DJ MDS</t>
  </si>
  <si>
    <t xml:space="preserve">LIQUIDATION OF LGU'S </t>
  </si>
  <si>
    <t xml:space="preserve">LIQUIDATION OF NGO'S PO'S </t>
  </si>
  <si>
    <t>OMAE WGFD</t>
  </si>
  <si>
    <t xml:space="preserve">LIQUIDATION OF PCF </t>
  </si>
  <si>
    <t>September 2024</t>
  </si>
  <si>
    <t xml:space="preserve">OCTOBER </t>
  </si>
  <si>
    <t>Liquidation of Due to NGA's Prior Year</t>
  </si>
  <si>
    <t>Due to National Government Agencies</t>
  </si>
  <si>
    <t>Semi-Expendable Books Expense</t>
  </si>
  <si>
    <t>NOVEMBER</t>
  </si>
  <si>
    <t>EDSEL</t>
  </si>
  <si>
    <t xml:space="preserve">2022 AP </t>
  </si>
  <si>
    <t>Reversal of 2022 Accounts Payable</t>
  </si>
  <si>
    <t>LGU</t>
  </si>
  <si>
    <t xml:space="preserve">NGOS POS </t>
  </si>
  <si>
    <t>As of December 31, 2024</t>
  </si>
  <si>
    <t>Balance as of December 31, 2024</t>
  </si>
  <si>
    <t>DECEMBER</t>
  </si>
  <si>
    <t>CHECK DJ GOP</t>
  </si>
  <si>
    <t>LGU AJE</t>
  </si>
  <si>
    <t xml:space="preserve">AP </t>
  </si>
  <si>
    <t>AP 2023</t>
  </si>
  <si>
    <t>PY</t>
  </si>
  <si>
    <t>Other Supplies and Materials Inventory</t>
  </si>
  <si>
    <t>Other Supplies and Materials Expense</t>
  </si>
  <si>
    <t>Medical, Dental and Laboratory Supplies Inventory</t>
  </si>
  <si>
    <t>Ma'am Ruth</t>
  </si>
  <si>
    <t>Kyra</t>
  </si>
  <si>
    <t>Consolidated Breakdown of Accumulated Surplus/(Deficit)</t>
  </si>
  <si>
    <t>Fund Cluster 1, 2, 3 &amp; 7</t>
  </si>
  <si>
    <t>Reversion of Accounts Payable 2021 per COA-DBM JOINT CIRCULAR NO.1, Series of 2021</t>
  </si>
  <si>
    <t>Erroneous deposit of cash receipts to Bureau of Treasury instead of WB Account last December 2023</t>
  </si>
  <si>
    <t>Cash in Bank - Local Currency Current Account, LBP</t>
  </si>
  <si>
    <t>Overbooking liquidation of LGUs from prior year fund transfer FC 2</t>
  </si>
  <si>
    <t>Overbooking of liquidation of NGOs/CSOs prior year fund transfer FC 2</t>
  </si>
  <si>
    <t>Liquidation of LGUs of prior years fund transfer FC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</si>
</sst>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[$-409]mmmm\ d\,\ yyyy;@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i/>
      <sz val="12"/>
      <name val="Arial Narrow"/>
      <family val="2"/>
    </font>
    <font>
      <sz val="10"/>
      <name val="Arial"/>
      <family val="2"/>
    </font>
    <font>
      <sz val="12"/>
      <color rgb="FFFF0000"/>
      <name val="Arial Narrow"/>
      <family val="2"/>
    </font>
    <font>
      <i/>
      <sz val="12"/>
      <name val="Arial Narrow"/>
      <family val="2"/>
    </font>
    <font>
      <sz val="12"/>
      <color theme="0"/>
      <name val="Arial Narrow"/>
      <family val="2"/>
    </font>
    <font>
      <sz val="12"/>
      <color theme="1"/>
      <name val="Arial"/>
      <family val="2"/>
    </font>
    <font>
      <sz val="12"/>
      <color theme="0"/>
      <name val="Arial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u/>
      <sz val="12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2"/>
      <name val="Arial"/>
      <family val="2"/>
    </font>
    <font>
      <sz val="12"/>
      <color theme="1"/>
      <name val="Arial Unicode MS"/>
      <family val="2"/>
    </font>
    <font>
      <sz val="12"/>
      <color rgb="FFFFFF00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b/>
      <sz val="9"/>
      <name val="Times New Roman"/>
      <family val="1"/>
    </font>
    <font>
      <sz val="9"/>
      <name val="Times New Roman"/>
      <family val="1"/>
    </font>
    <font>
      <sz val="11"/>
      <name val="Arial Narrow"/>
      <family val="2"/>
    </font>
    <font>
      <b/>
      <sz val="11"/>
      <name val="Arial Narrow"/>
      <family val="2"/>
    </font>
    <font>
      <sz val="11"/>
      <color theme="0"/>
      <name val="Arial Narrow"/>
      <family val="2"/>
    </font>
    <font>
      <b/>
      <sz val="11"/>
      <color theme="0"/>
      <name val="Arial Narrow"/>
      <family val="2"/>
    </font>
    <font>
      <sz val="12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i/>
      <sz val="12"/>
      <color theme="1"/>
      <name val="Arial Narrow"/>
      <family val="2"/>
    </font>
    <font>
      <i/>
      <sz val="12"/>
      <color theme="1"/>
      <name val="Arial Narrow"/>
      <family val="2"/>
    </font>
    <font>
      <b/>
      <i/>
      <u val="singleAccounting"/>
      <sz val="12"/>
      <color theme="1"/>
      <name val="Arial Narrow"/>
      <family val="2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0"/>
      <name val="Arial"/>
      <family val="2"/>
    </font>
    <font>
      <b/>
      <sz val="12"/>
      <color theme="0"/>
      <name val="Arial Narrow"/>
      <family val="2"/>
    </font>
    <font>
      <b/>
      <i/>
      <sz val="12"/>
      <color theme="0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5" fontId="8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65" fontId="8" fillId="0" borderId="0"/>
  </cellStyleXfs>
  <cellXfs count="533">
    <xf numFmtId="0" fontId="0" fillId="0" borderId="0" xfId="0"/>
    <xf numFmtId="0" fontId="3" fillId="0" borderId="0" xfId="2" applyFont="1" applyFill="1" applyAlignment="1">
      <alignment vertical="center"/>
    </xf>
    <xf numFmtId="0" fontId="3" fillId="0" borderId="0" xfId="2" applyFont="1" applyFill="1" applyAlignment="1">
      <alignment vertical="center" wrapText="1"/>
    </xf>
    <xf numFmtId="164" fontId="6" fillId="0" borderId="0" xfId="5" applyFont="1" applyFill="1"/>
    <xf numFmtId="43" fontId="0" fillId="0" borderId="0" xfId="1" applyFont="1"/>
    <xf numFmtId="0" fontId="12" fillId="0" borderId="0" xfId="6" applyFont="1" applyFill="1" applyAlignment="1"/>
    <xf numFmtId="164" fontId="12" fillId="0" borderId="0" xfId="6" applyNumberFormat="1" applyFont="1" applyFill="1" applyAlignment="1"/>
    <xf numFmtId="0" fontId="14" fillId="0" borderId="0" xfId="6" applyFont="1" applyFill="1" applyAlignment="1">
      <alignment horizontal="center"/>
    </xf>
    <xf numFmtId="0" fontId="15" fillId="0" borderId="0" xfId="6" applyFont="1" applyFill="1" applyAlignment="1">
      <alignment horizontal="center"/>
    </xf>
    <xf numFmtId="43" fontId="12" fillId="0" borderId="0" xfId="6" applyNumberFormat="1" applyFont="1" applyFill="1" applyAlignment="1"/>
    <xf numFmtId="0" fontId="3" fillId="0" borderId="0" xfId="6" applyFont="1" applyFill="1" applyAlignment="1">
      <alignment horizontal="left" indent="7"/>
    </xf>
    <xf numFmtId="164" fontId="3" fillId="0" borderId="0" xfId="6" applyNumberFormat="1" applyFont="1" applyFill="1" applyAlignment="1"/>
    <xf numFmtId="0" fontId="3" fillId="0" borderId="0" xfId="6" applyFont="1" applyFill="1" applyAlignment="1">
      <alignment horizontal="left" indent="13"/>
    </xf>
    <xf numFmtId="0" fontId="3" fillId="0" borderId="0" xfId="6" applyFont="1" applyFill="1" applyAlignment="1">
      <alignment horizontal="left" indent="14"/>
    </xf>
    <xf numFmtId="0" fontId="12" fillId="0" borderId="0" xfId="6" applyFont="1" applyFill="1" applyAlignment="1">
      <alignment horizontal="left" indent="7"/>
    </xf>
    <xf numFmtId="0" fontId="12" fillId="0" borderId="0" xfId="6" applyFont="1" applyFill="1" applyAlignment="1">
      <alignment horizontal="left" indent="14"/>
    </xf>
    <xf numFmtId="0" fontId="17" fillId="0" borderId="0" xfId="6" applyFont="1" applyFill="1" applyAlignment="1"/>
    <xf numFmtId="0" fontId="3" fillId="0" borderId="0" xfId="6" applyFont="1" applyFill="1" applyAlignment="1"/>
    <xf numFmtId="0" fontId="18" fillId="0" borderId="0" xfId="6" applyFont="1" applyFill="1" applyAlignment="1"/>
    <xf numFmtId="164" fontId="19" fillId="0" borderId="0" xfId="8" applyFont="1" applyFill="1" applyBorder="1"/>
    <xf numFmtId="164" fontId="3" fillId="0" borderId="0" xfId="7" applyFont="1" applyFill="1"/>
    <xf numFmtId="164" fontId="12" fillId="0" borderId="0" xfId="7" applyFont="1" applyFill="1"/>
    <xf numFmtId="0" fontId="12" fillId="0" borderId="6" xfId="6" applyFont="1" applyFill="1" applyBorder="1" applyAlignment="1">
      <alignment horizontal="left" indent="3"/>
    </xf>
    <xf numFmtId="0" fontId="3" fillId="0" borderId="5" xfId="6" applyFont="1" applyFill="1" applyBorder="1" applyAlignment="1"/>
    <xf numFmtId="0" fontId="12" fillId="0" borderId="4" xfId="6" applyFont="1" applyFill="1" applyBorder="1" applyAlignment="1"/>
    <xf numFmtId="164" fontId="3" fillId="0" borderId="1" xfId="7" applyFont="1" applyFill="1" applyBorder="1"/>
    <xf numFmtId="0" fontId="12" fillId="0" borderId="5" xfId="6" applyFont="1" applyFill="1" applyBorder="1" applyAlignment="1"/>
    <xf numFmtId="0" fontId="3" fillId="0" borderId="4" xfId="6" applyFont="1" applyFill="1" applyBorder="1" applyAlignment="1"/>
    <xf numFmtId="0" fontId="12" fillId="0" borderId="6" xfId="6" applyFont="1" applyFill="1" applyBorder="1" applyAlignment="1"/>
    <xf numFmtId="0" fontId="12" fillId="0" borderId="6" xfId="6" applyFont="1" applyFill="1" applyBorder="1" applyAlignment="1">
      <alignment horizontal="left"/>
    </xf>
    <xf numFmtId="164" fontId="12" fillId="0" borderId="1" xfId="7" applyFont="1" applyFill="1" applyBorder="1"/>
    <xf numFmtId="0" fontId="12" fillId="0" borderId="1" xfId="6" applyFont="1" applyFill="1" applyBorder="1" applyAlignment="1"/>
    <xf numFmtId="0" fontId="12" fillId="0" borderId="0" xfId="6" applyFont="1" applyFill="1" applyAlignment="1">
      <alignment horizontal="center" vertical="center" wrapText="1"/>
    </xf>
    <xf numFmtId="0" fontId="23" fillId="0" borderId="0" xfId="10" applyFont="1" applyFill="1"/>
    <xf numFmtId="0" fontId="3" fillId="0" borderId="0" xfId="0" applyFont="1" applyFill="1"/>
    <xf numFmtId="0" fontId="12" fillId="0" borderId="0" xfId="0" applyFont="1" applyFill="1"/>
    <xf numFmtId="164" fontId="12" fillId="0" borderId="0" xfId="5" applyFont="1" applyFill="1"/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3" fillId="0" borderId="4" xfId="0" applyFont="1" applyFill="1" applyBorder="1"/>
    <xf numFmtId="0" fontId="12" fillId="0" borderId="5" xfId="0" applyFont="1" applyFill="1" applyBorder="1"/>
    <xf numFmtId="0" fontId="12" fillId="0" borderId="6" xfId="0" applyFont="1" applyFill="1" applyBorder="1"/>
    <xf numFmtId="164" fontId="12" fillId="0" borderId="1" xfId="5" applyFont="1" applyFill="1" applyBorder="1"/>
    <xf numFmtId="0" fontId="12" fillId="0" borderId="1" xfId="0" applyFont="1" applyFill="1" applyBorder="1"/>
    <xf numFmtId="0" fontId="12" fillId="0" borderId="4" xfId="0" applyFont="1" applyFill="1" applyBorder="1"/>
    <xf numFmtId="0" fontId="3" fillId="0" borderId="5" xfId="0" applyFont="1" applyFill="1" applyBorder="1"/>
    <xf numFmtId="0" fontId="3" fillId="0" borderId="6" xfId="0" applyFont="1" applyFill="1" applyBorder="1"/>
    <xf numFmtId="164" fontId="3" fillId="0" borderId="1" xfId="5" applyFont="1" applyFill="1" applyBorder="1"/>
    <xf numFmtId="164" fontId="3" fillId="0" borderId="0" xfId="5" applyFont="1" applyFill="1"/>
    <xf numFmtId="0" fontId="12" fillId="0" borderId="6" xfId="0" applyFont="1" applyFill="1" applyBorder="1" applyAlignment="1">
      <alignment horizontal="left" indent="3"/>
    </xf>
    <xf numFmtId="164" fontId="22" fillId="0" borderId="1" xfId="5" applyFont="1" applyFill="1" applyBorder="1"/>
    <xf numFmtId="164" fontId="3" fillId="0" borderId="1" xfId="5" applyFont="1" applyFill="1" applyBorder="1" applyAlignment="1">
      <alignment horizontal="left" indent="3"/>
    </xf>
    <xf numFmtId="164" fontId="12" fillId="0" borderId="1" xfId="5" applyFont="1" applyFill="1" applyBorder="1" applyAlignment="1">
      <alignment horizontal="left"/>
    </xf>
    <xf numFmtId="164" fontId="12" fillId="0" borderId="1" xfId="5" applyFont="1" applyFill="1" applyBorder="1" applyAlignment="1">
      <alignment horizontal="left" indent="3"/>
    </xf>
    <xf numFmtId="0" fontId="18" fillId="0" borderId="0" xfId="0" applyFont="1" applyFill="1"/>
    <xf numFmtId="0" fontId="17" fillId="0" borderId="0" xfId="0" applyFont="1" applyFill="1"/>
    <xf numFmtId="0" fontId="12" fillId="0" borderId="0" xfId="0" applyFont="1" applyFill="1" applyAlignment="1">
      <alignment wrapText="1"/>
    </xf>
    <xf numFmtId="164" fontId="12" fillId="0" borderId="0" xfId="5" applyFont="1" applyFill="1" applyAlignment="1">
      <alignment horizontal="left" indent="3"/>
    </xf>
    <xf numFmtId="0" fontId="12" fillId="0" borderId="0" xfId="0" applyFont="1" applyFill="1" applyAlignment="1">
      <alignment horizontal="left" indent="7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 indent="13"/>
    </xf>
    <xf numFmtId="164" fontId="3" fillId="0" borderId="0" xfId="0" applyNumberFormat="1" applyFont="1" applyFill="1"/>
    <xf numFmtId="0" fontId="3" fillId="0" borderId="0" xfId="0" applyFont="1" applyFill="1" applyAlignment="1">
      <alignment horizontal="left" indent="7"/>
    </xf>
    <xf numFmtId="164" fontId="3" fillId="0" borderId="0" xfId="5" applyFont="1" applyFill="1" applyAlignment="1">
      <alignment horizontal="left" indent="3"/>
    </xf>
    <xf numFmtId="0" fontId="12" fillId="0" borderId="0" xfId="0" applyFont="1" applyFill="1" applyBorder="1"/>
    <xf numFmtId="164" fontId="12" fillId="0" borderId="0" xfId="5" applyFont="1" applyFill="1" applyBorder="1"/>
    <xf numFmtId="164" fontId="13" fillId="0" borderId="0" xfId="0" applyNumberFormat="1" applyFont="1" applyFill="1" applyBorder="1"/>
    <xf numFmtId="164" fontId="13" fillId="0" borderId="0" xfId="5" applyFont="1" applyFill="1" applyBorder="1"/>
    <xf numFmtId="0" fontId="12" fillId="0" borderId="0" xfId="0" applyFont="1" applyFill="1" applyBorder="1" applyAlignment="1">
      <alignment horizontal="center"/>
    </xf>
    <xf numFmtId="0" fontId="13" fillId="0" borderId="0" xfId="0" applyFont="1" applyFill="1" applyBorder="1"/>
    <xf numFmtId="164" fontId="12" fillId="0" borderId="0" xfId="5" applyFont="1" applyFill="1" applyBorder="1" applyAlignment="1">
      <alignment horizontal="centerContinuous" vertical="center"/>
    </xf>
    <xf numFmtId="0" fontId="26" fillId="0" borderId="0" xfId="0" applyFont="1" applyFill="1"/>
    <xf numFmtId="0" fontId="27" fillId="0" borderId="0" xfId="0" applyFont="1" applyFill="1"/>
    <xf numFmtId="164" fontId="28" fillId="0" borderId="0" xfId="5" applyFont="1" applyFill="1"/>
    <xf numFmtId="164" fontId="26" fillId="0" borderId="0" xfId="5" applyFont="1" applyFill="1"/>
    <xf numFmtId="164" fontId="29" fillId="0" borderId="0" xfId="5" applyFont="1" applyFill="1"/>
    <xf numFmtId="164" fontId="29" fillId="0" borderId="0" xfId="0" applyNumberFormat="1" applyFont="1" applyFill="1"/>
    <xf numFmtId="0" fontId="28" fillId="0" borderId="0" xfId="0" applyFont="1" applyFill="1"/>
    <xf numFmtId="164" fontId="26" fillId="0" borderId="0" xfId="5" applyFont="1" applyFill="1" applyBorder="1"/>
    <xf numFmtId="164" fontId="28" fillId="0" borderId="0" xfId="5" applyFont="1" applyFill="1" applyBorder="1"/>
    <xf numFmtId="164" fontId="26" fillId="0" borderId="0" xfId="5" applyFont="1" applyFill="1" applyAlignment="1">
      <alignment horizontal="centerContinuous" vertical="center"/>
    </xf>
    <xf numFmtId="0" fontId="3" fillId="0" borderId="0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left" vertical="center"/>
    </xf>
    <xf numFmtId="0" fontId="16" fillId="0" borderId="0" xfId="6" applyFont="1" applyFill="1" applyAlignment="1">
      <alignment horizontal="center"/>
    </xf>
    <xf numFmtId="0" fontId="12" fillId="0" borderId="0" xfId="6" applyFont="1" applyFill="1" applyAlignment="1">
      <alignment horizontal="center"/>
    </xf>
    <xf numFmtId="0" fontId="12" fillId="0" borderId="1" xfId="6" applyFont="1" applyFill="1" applyBorder="1" applyAlignment="1">
      <alignment horizontal="center" vertical="center" wrapText="1"/>
    </xf>
    <xf numFmtId="0" fontId="3" fillId="0" borderId="6" xfId="6" applyFont="1" applyFill="1" applyBorder="1" applyAlignment="1"/>
    <xf numFmtId="164" fontId="22" fillId="0" borderId="1" xfId="7" applyFont="1" applyFill="1" applyBorder="1"/>
    <xf numFmtId="43" fontId="12" fillId="0" borderId="1" xfId="9" applyFont="1" applyFill="1" applyBorder="1"/>
    <xf numFmtId="164" fontId="20" fillId="0" borderId="1" xfId="8" applyFont="1" applyFill="1" applyBorder="1" applyAlignment="1">
      <alignment horizontal="right"/>
    </xf>
    <xf numFmtId="164" fontId="21" fillId="0" borderId="1" xfId="7" applyFont="1" applyFill="1" applyBorder="1"/>
    <xf numFmtId="164" fontId="12" fillId="0" borderId="1" xfId="8" applyFont="1" applyFill="1" applyBorder="1" applyAlignment="1">
      <alignment horizontal="right"/>
    </xf>
    <xf numFmtId="164" fontId="12" fillId="0" borderId="1" xfId="7" applyFont="1" applyFill="1" applyBorder="1" applyAlignment="1">
      <alignment horizontal="left" indent="3"/>
    </xf>
    <xf numFmtId="164" fontId="12" fillId="0" borderId="1" xfId="7" applyFont="1" applyFill="1" applyBorder="1" applyAlignment="1">
      <alignment horizontal="left"/>
    </xf>
    <xf numFmtId="164" fontId="12" fillId="0" borderId="0" xfId="7" applyFont="1" applyFill="1" applyAlignment="1">
      <alignment horizontal="left" indent="3"/>
    </xf>
    <xf numFmtId="164" fontId="3" fillId="0" borderId="0" xfId="7" applyFont="1" applyFill="1" applyAlignment="1">
      <alignment horizontal="left" indent="3"/>
    </xf>
    <xf numFmtId="164" fontId="13" fillId="0" borderId="0" xfId="7" applyFont="1" applyFill="1"/>
    <xf numFmtId="164" fontId="12" fillId="0" borderId="0" xfId="7" applyFont="1" applyFill="1" applyBorder="1"/>
    <xf numFmtId="164" fontId="13" fillId="0" borderId="0" xfId="7" applyFont="1" applyFill="1" applyBorder="1"/>
    <xf numFmtId="164" fontId="31" fillId="0" borderId="0" xfId="3" applyFont="1" applyFill="1" applyAlignment="1">
      <alignment vertical="center"/>
    </xf>
    <xf numFmtId="0" fontId="31" fillId="0" borderId="0" xfId="2" applyFont="1" applyFill="1" applyAlignment="1">
      <alignment vertical="center" wrapText="1"/>
    </xf>
    <xf numFmtId="0" fontId="31" fillId="0" borderId="0" xfId="2" applyFont="1" applyFill="1" applyAlignment="1">
      <alignment vertical="center"/>
    </xf>
    <xf numFmtId="43" fontId="31" fillId="0" borderId="0" xfId="2" applyNumberFormat="1" applyFont="1" applyFill="1" applyAlignment="1">
      <alignment vertical="center"/>
    </xf>
    <xf numFmtId="164" fontId="31" fillId="0" borderId="0" xfId="3" applyFont="1" applyFill="1" applyAlignment="1">
      <alignment vertical="center" wrapText="1"/>
    </xf>
    <xf numFmtId="164" fontId="31" fillId="0" borderId="0" xfId="2" applyNumberFormat="1" applyFont="1" applyFill="1" applyAlignment="1">
      <alignment vertical="center"/>
    </xf>
    <xf numFmtId="164" fontId="32" fillId="0" borderId="0" xfId="3" applyFont="1" applyFill="1" applyAlignment="1">
      <alignment vertical="center"/>
    </xf>
    <xf numFmtId="0" fontId="32" fillId="0" borderId="0" xfId="2" applyFont="1" applyFill="1" applyAlignment="1">
      <alignment vertical="center" wrapText="1"/>
    </xf>
    <xf numFmtId="0" fontId="32" fillId="0" borderId="0" xfId="2" applyFont="1" applyFill="1" applyAlignment="1">
      <alignment vertical="center"/>
    </xf>
    <xf numFmtId="0" fontId="32" fillId="0" borderId="0" xfId="2" applyFont="1" applyFill="1" applyAlignment="1">
      <alignment horizontal="center" vertical="center" wrapText="1"/>
    </xf>
    <xf numFmtId="164" fontId="31" fillId="0" borderId="1" xfId="3" applyFont="1" applyFill="1" applyBorder="1" applyAlignment="1">
      <alignment vertical="center"/>
    </xf>
    <xf numFmtId="0" fontId="32" fillId="0" borderId="1" xfId="2" applyFont="1" applyFill="1" applyBorder="1" applyAlignment="1">
      <alignment vertical="center" wrapText="1"/>
    </xf>
    <xf numFmtId="0" fontId="32" fillId="0" borderId="1" xfId="2" applyFont="1" applyFill="1" applyBorder="1" applyAlignment="1">
      <alignment vertical="center"/>
    </xf>
    <xf numFmtId="0" fontId="32" fillId="0" borderId="4" xfId="2" applyFont="1" applyFill="1" applyBorder="1" applyAlignment="1">
      <alignment vertical="center"/>
    </xf>
    <xf numFmtId="0" fontId="32" fillId="0" borderId="6" xfId="2" applyFont="1" applyFill="1" applyBorder="1" applyAlignment="1">
      <alignment vertical="center" wrapText="1"/>
    </xf>
    <xf numFmtId="164" fontId="32" fillId="0" borderId="1" xfId="3" applyFont="1" applyFill="1" applyBorder="1" applyAlignment="1">
      <alignment vertical="center"/>
    </xf>
    <xf numFmtId="0" fontId="31" fillId="0" borderId="7" xfId="2" applyFont="1" applyFill="1" applyBorder="1" applyAlignment="1">
      <alignment vertical="center"/>
    </xf>
    <xf numFmtId="0" fontId="31" fillId="0" borderId="1" xfId="2" applyFont="1" applyFill="1" applyBorder="1" applyAlignment="1">
      <alignment vertical="center" wrapText="1"/>
    </xf>
    <xf numFmtId="164" fontId="31" fillId="0" borderId="1" xfId="3" applyFont="1" applyFill="1" applyBorder="1" applyAlignment="1">
      <alignment vertical="center" wrapText="1"/>
    </xf>
    <xf numFmtId="0" fontId="33" fillId="0" borderId="4" xfId="2" applyFont="1" applyFill="1" applyBorder="1" applyAlignment="1">
      <alignment vertical="center"/>
    </xf>
    <xf numFmtId="0" fontId="33" fillId="0" borderId="6" xfId="2" applyFont="1" applyFill="1" applyBorder="1" applyAlignment="1">
      <alignment vertical="center" wrapText="1"/>
    </xf>
    <xf numFmtId="164" fontId="33" fillId="0" borderId="1" xfId="3" applyFont="1" applyFill="1" applyBorder="1" applyAlignment="1">
      <alignment vertical="center"/>
    </xf>
    <xf numFmtId="164" fontId="33" fillId="0" borderId="1" xfId="3" applyFont="1" applyFill="1" applyBorder="1" applyAlignment="1">
      <alignment vertical="center" wrapText="1"/>
    </xf>
    <xf numFmtId="164" fontId="33" fillId="0" borderId="0" xfId="3" applyFont="1" applyFill="1" applyAlignment="1">
      <alignment vertical="center"/>
    </xf>
    <xf numFmtId="0" fontId="33" fillId="0" borderId="0" xfId="2" applyFont="1" applyFill="1" applyAlignment="1">
      <alignment vertical="center"/>
    </xf>
    <xf numFmtId="0" fontId="32" fillId="0" borderId="6" xfId="2" applyFont="1" applyFill="1" applyBorder="1" applyAlignment="1">
      <alignment horizontal="left" vertical="center" wrapText="1"/>
    </xf>
    <xf numFmtId="164" fontId="32" fillId="0" borderId="1" xfId="3" applyFont="1" applyFill="1" applyBorder="1" applyAlignment="1">
      <alignment vertical="center" wrapText="1"/>
    </xf>
    <xf numFmtId="0" fontId="31" fillId="0" borderId="4" xfId="2" applyFont="1" applyFill="1" applyBorder="1" applyAlignment="1">
      <alignment vertical="center"/>
    </xf>
    <xf numFmtId="0" fontId="31" fillId="0" borderId="6" xfId="2" applyFont="1" applyFill="1" applyBorder="1" applyAlignment="1">
      <alignment vertical="center" wrapText="1"/>
    </xf>
    <xf numFmtId="164" fontId="32" fillId="0" borderId="1" xfId="3" applyFont="1" applyFill="1" applyBorder="1" applyAlignment="1">
      <alignment horizontal="left" vertical="center" wrapText="1"/>
    </xf>
    <xf numFmtId="164" fontId="32" fillId="0" borderId="1" xfId="3" applyFont="1" applyFill="1" applyBorder="1" applyAlignment="1">
      <alignment horizontal="left" vertical="center"/>
    </xf>
    <xf numFmtId="0" fontId="34" fillId="0" borderId="0" xfId="2" applyFont="1" applyFill="1" applyAlignment="1">
      <alignment vertical="center"/>
    </xf>
    <xf numFmtId="164" fontId="32" fillId="0" borderId="0" xfId="2" applyNumberFormat="1" applyFont="1" applyFill="1" applyAlignment="1">
      <alignment vertical="center" wrapText="1"/>
    </xf>
    <xf numFmtId="43" fontId="32" fillId="0" borderId="0" xfId="2" applyNumberFormat="1" applyFont="1" applyFill="1" applyAlignment="1">
      <alignment vertical="center" wrapText="1"/>
    </xf>
    <xf numFmtId="164" fontId="32" fillId="0" borderId="0" xfId="2" applyNumberFormat="1" applyFont="1" applyFill="1" applyAlignment="1">
      <alignment vertical="center"/>
    </xf>
    <xf numFmtId="43" fontId="32" fillId="0" borderId="0" xfId="2" applyNumberFormat="1" applyFont="1" applyFill="1" applyAlignment="1">
      <alignment vertical="center"/>
    </xf>
    <xf numFmtId="0" fontId="32" fillId="0" borderId="0" xfId="2" applyFont="1" applyFill="1" applyAlignment="1">
      <alignment horizontal="left" vertical="center" wrapText="1"/>
    </xf>
    <xf numFmtId="164" fontId="32" fillId="0" borderId="0" xfId="3" applyFont="1" applyFill="1" applyAlignment="1">
      <alignment horizontal="left" vertical="center"/>
    </xf>
    <xf numFmtId="0" fontId="32" fillId="0" borderId="0" xfId="2" applyFont="1" applyFill="1" applyAlignment="1">
      <alignment horizontal="left" vertical="center"/>
    </xf>
    <xf numFmtId="0" fontId="31" fillId="0" borderId="0" xfId="2" applyFont="1" applyFill="1" applyAlignment="1">
      <alignment horizontal="left" vertical="center" wrapText="1"/>
    </xf>
    <xf numFmtId="0" fontId="31" fillId="0" borderId="0" xfId="2" applyFont="1" applyFill="1" applyAlignment="1">
      <alignment horizontal="left" vertical="center"/>
    </xf>
    <xf numFmtId="164" fontId="32" fillId="0" borderId="0" xfId="3" applyFont="1" applyFill="1" applyAlignment="1">
      <alignment vertical="center" wrapText="1"/>
    </xf>
    <xf numFmtId="164" fontId="31" fillId="0" borderId="0" xfId="3" applyFont="1" applyFill="1" applyAlignment="1">
      <alignment horizontal="left" vertical="center"/>
    </xf>
    <xf numFmtId="0" fontId="32" fillId="0" borderId="0" xfId="2" applyFont="1" applyFill="1" applyAlignment="1">
      <alignment horizontal="center" vertical="center"/>
    </xf>
    <xf numFmtId="164" fontId="31" fillId="0" borderId="0" xfId="3" applyFont="1" applyFill="1" applyAlignment="1">
      <alignment horizontal="center" vertical="center"/>
    </xf>
    <xf numFmtId="0" fontId="31" fillId="0" borderId="0" xfId="2" applyFont="1" applyFill="1" applyAlignment="1">
      <alignment horizontal="center" vertical="center"/>
    </xf>
    <xf numFmtId="164" fontId="32" fillId="0" borderId="0" xfId="3" applyFont="1" applyFill="1" applyBorder="1" applyAlignment="1">
      <alignment vertical="center"/>
    </xf>
    <xf numFmtId="0" fontId="31" fillId="0" borderId="11" xfId="2" applyFont="1" applyFill="1" applyBorder="1" applyAlignment="1">
      <alignment horizontal="center" vertical="center" wrapText="1"/>
    </xf>
    <xf numFmtId="164" fontId="32" fillId="0" borderId="0" xfId="3" applyFont="1" applyFill="1" applyAlignment="1">
      <alignment horizontal="centerContinuous" vertical="center"/>
    </xf>
    <xf numFmtId="0" fontId="6" fillId="0" borderId="0" xfId="0" applyFont="1" applyFill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164" fontId="6" fillId="0" borderId="1" xfId="5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164" fontId="6" fillId="0" borderId="6" xfId="5" applyFont="1" applyFill="1" applyBorder="1" applyAlignment="1">
      <alignment horizontal="left" vertical="center"/>
    </xf>
    <xf numFmtId="164" fontId="6" fillId="0" borderId="1" xfId="5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164" fontId="6" fillId="0" borderId="0" xfId="5" applyFont="1" applyFill="1" applyAlignment="1">
      <alignment horizontal="left" vertical="center"/>
    </xf>
    <xf numFmtId="164" fontId="32" fillId="0" borderId="0" xfId="5" applyFont="1" applyFill="1" applyAlignment="1">
      <alignment vertical="center"/>
    </xf>
    <xf numFmtId="164" fontId="6" fillId="0" borderId="0" xfId="5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164" fontId="5" fillId="0" borderId="1" xfId="5" applyFont="1" applyFill="1" applyBorder="1" applyAlignment="1">
      <alignment horizontal="left" vertical="center"/>
    </xf>
    <xf numFmtId="164" fontId="5" fillId="0" borderId="0" xfId="5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164" fontId="5" fillId="0" borderId="0" xfId="0" applyNumberFormat="1" applyFont="1" applyFill="1" applyAlignment="1">
      <alignment horizontal="left" vertical="center"/>
    </xf>
    <xf numFmtId="164" fontId="6" fillId="0" borderId="0" xfId="0" applyNumberFormat="1" applyFont="1" applyFill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/>
    </xf>
    <xf numFmtId="0" fontId="10" fillId="0" borderId="6" xfId="0" applyFont="1" applyFill="1" applyBorder="1" applyAlignment="1">
      <alignment horizontal="left" vertical="center"/>
    </xf>
    <xf numFmtId="164" fontId="10" fillId="0" borderId="1" xfId="5" applyFont="1" applyFill="1" applyBorder="1" applyAlignment="1">
      <alignment horizontal="left" vertical="center"/>
    </xf>
    <xf numFmtId="164" fontId="10" fillId="0" borderId="0" xfId="5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165" fontId="6" fillId="0" borderId="1" xfId="4" applyFont="1" applyFill="1" applyBorder="1" applyAlignment="1">
      <alignment horizontal="left" vertical="center"/>
    </xf>
    <xf numFmtId="0" fontId="30" fillId="0" borderId="0" xfId="0" applyFont="1" applyFill="1" applyAlignment="1">
      <alignment horizontal="left" vertical="center"/>
    </xf>
    <xf numFmtId="164" fontId="30" fillId="0" borderId="0" xfId="5" applyFont="1" applyFill="1" applyAlignment="1">
      <alignment horizontal="left" vertical="center"/>
    </xf>
    <xf numFmtId="164" fontId="10" fillId="0" borderId="6" xfId="5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 wrapText="1"/>
    </xf>
    <xf numFmtId="43" fontId="6" fillId="0" borderId="0" xfId="0" applyNumberFormat="1" applyFont="1" applyFill="1" applyAlignment="1">
      <alignment horizontal="left" vertical="center"/>
    </xf>
    <xf numFmtId="164" fontId="6" fillId="0" borderId="11" xfId="5" applyFont="1" applyFill="1" applyBorder="1" applyAlignment="1">
      <alignment horizontal="left" vertical="center"/>
    </xf>
    <xf numFmtId="164" fontId="32" fillId="0" borderId="0" xfId="5" applyFont="1" applyFill="1" applyAlignment="1">
      <alignment horizontal="left" vertical="center"/>
    </xf>
    <xf numFmtId="164" fontId="11" fillId="0" borderId="0" xfId="5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164" fontId="9" fillId="0" borderId="0" xfId="5" applyFont="1" applyFill="1" applyAlignment="1">
      <alignment horizontal="left" vertical="center"/>
    </xf>
    <xf numFmtId="164" fontId="11" fillId="0" borderId="0" xfId="0" applyNumberFormat="1" applyFont="1" applyFill="1" applyAlignment="1">
      <alignment horizontal="left" vertical="center"/>
    </xf>
    <xf numFmtId="164" fontId="26" fillId="0" borderId="0" xfId="5" applyFont="1" applyFill="1" applyBorder="1" applyAlignment="1">
      <alignment vertical="center"/>
    </xf>
    <xf numFmtId="164" fontId="6" fillId="0" borderId="0" xfId="5" applyFont="1" applyFill="1" applyBorder="1" applyAlignment="1">
      <alignment horizontal="left" vertical="center"/>
    </xf>
    <xf numFmtId="164" fontId="11" fillId="0" borderId="0" xfId="5" applyFont="1" applyFill="1" applyBorder="1" applyAlignment="1">
      <alignment horizontal="left" vertical="center"/>
    </xf>
    <xf numFmtId="164" fontId="27" fillId="0" borderId="0" xfId="5" applyFont="1" applyFill="1" applyBorder="1" applyAlignment="1">
      <alignment vertical="center"/>
    </xf>
    <xf numFmtId="164" fontId="32" fillId="0" borderId="6" xfId="3" applyFont="1" applyFill="1" applyBorder="1" applyAlignment="1">
      <alignment vertical="center"/>
    </xf>
    <xf numFmtId="0" fontId="32" fillId="0" borderId="5" xfId="2" applyFont="1" applyFill="1" applyBorder="1" applyAlignment="1">
      <alignment horizontal="center" vertical="center"/>
    </xf>
    <xf numFmtId="164" fontId="31" fillId="0" borderId="0" xfId="1" applyNumberFormat="1" applyFont="1" applyFill="1" applyAlignment="1">
      <alignment vertical="center"/>
    </xf>
    <xf numFmtId="164" fontId="32" fillId="0" borderId="0" xfId="1" applyNumberFormat="1" applyFont="1" applyFill="1" applyAlignment="1">
      <alignment vertical="center"/>
    </xf>
    <xf numFmtId="164" fontId="32" fillId="0" borderId="1" xfId="1" applyNumberFormat="1" applyFont="1" applyFill="1" applyBorder="1" applyAlignment="1">
      <alignment horizontal="center" vertical="center" wrapText="1"/>
    </xf>
    <xf numFmtId="164" fontId="32" fillId="0" borderId="1" xfId="1" applyNumberFormat="1" applyFont="1" applyFill="1" applyBorder="1" applyAlignment="1">
      <alignment vertical="center"/>
    </xf>
    <xf numFmtId="164" fontId="31" fillId="0" borderId="1" xfId="1" applyNumberFormat="1" applyFont="1" applyFill="1" applyBorder="1" applyAlignment="1">
      <alignment vertical="center"/>
    </xf>
    <xf numFmtId="164" fontId="33" fillId="0" borderId="1" xfId="1" applyNumberFormat="1" applyFont="1" applyFill="1" applyBorder="1" applyAlignment="1">
      <alignment vertical="center"/>
    </xf>
    <xf numFmtId="0" fontId="3" fillId="0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 vertical="center"/>
    </xf>
    <xf numFmtId="164" fontId="5" fillId="0" borderId="1" xfId="5" applyFont="1" applyFill="1" applyBorder="1" applyAlignment="1">
      <alignment horizontal="left" vertical="center" wrapText="1"/>
    </xf>
    <xf numFmtId="43" fontId="12" fillId="0" borderId="1" xfId="1" applyFont="1" applyFill="1" applyBorder="1"/>
    <xf numFmtId="0" fontId="12" fillId="0" borderId="4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left" vertical="center" wrapText="1"/>
    </xf>
    <xf numFmtId="164" fontId="12" fillId="0" borderId="1" xfId="5" applyFont="1" applyFill="1" applyBorder="1" applyAlignment="1">
      <alignment vertical="center"/>
    </xf>
    <xf numFmtId="164" fontId="22" fillId="0" borderId="1" xfId="5" applyFont="1" applyFill="1" applyBorder="1" applyAlignment="1">
      <alignment vertical="center"/>
    </xf>
    <xf numFmtId="164" fontId="12" fillId="0" borderId="0" xfId="5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3" fillId="0" borderId="4" xfId="2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164" fontId="10" fillId="0" borderId="1" xfId="5" applyFont="1" applyFill="1" applyBorder="1" applyAlignment="1">
      <alignment horizontal="left" vertical="center" wrapText="1"/>
    </xf>
    <xf numFmtId="164" fontId="26" fillId="0" borderId="1" xfId="5" applyFont="1" applyFill="1" applyBorder="1" applyAlignment="1">
      <alignment horizontal="left" vertical="center" wrapText="1"/>
    </xf>
    <xf numFmtId="164" fontId="6" fillId="0" borderId="0" xfId="5" applyFont="1" applyFill="1" applyAlignment="1">
      <alignment horizontal="left" vertical="center" wrapText="1"/>
    </xf>
    <xf numFmtId="164" fontId="6" fillId="0" borderId="0" xfId="5" applyFont="1" applyFill="1" applyBorder="1" applyAlignment="1">
      <alignment horizontal="left" vertical="center" wrapText="1"/>
    </xf>
    <xf numFmtId="164" fontId="31" fillId="0" borderId="0" xfId="1" applyNumberFormat="1" applyFont="1" applyFill="1" applyAlignment="1">
      <alignment horizontal="center" vertical="center"/>
    </xf>
    <xf numFmtId="164" fontId="32" fillId="0" borderId="0" xfId="1" applyNumberFormat="1" applyFont="1" applyFill="1" applyAlignment="1">
      <alignment horizontal="center" vertical="center"/>
    </xf>
    <xf numFmtId="164" fontId="32" fillId="0" borderId="1" xfId="1" applyNumberFormat="1" applyFont="1" applyFill="1" applyBorder="1" applyAlignment="1">
      <alignment horizontal="center" vertical="center"/>
    </xf>
    <xf numFmtId="164" fontId="31" fillId="0" borderId="1" xfId="1" applyNumberFormat="1" applyFont="1" applyFill="1" applyBorder="1" applyAlignment="1">
      <alignment horizontal="center" vertical="center"/>
    </xf>
    <xf numFmtId="164" fontId="33" fillId="0" borderId="1" xfId="1" applyNumberFormat="1" applyFont="1" applyFill="1" applyBorder="1" applyAlignment="1">
      <alignment horizontal="center" vertical="center"/>
    </xf>
    <xf numFmtId="0" fontId="33" fillId="0" borderId="1" xfId="1" applyNumberFormat="1" applyFont="1" applyFill="1" applyBorder="1" applyAlignment="1">
      <alignment horizontal="center" vertical="center"/>
    </xf>
    <xf numFmtId="0" fontId="32" fillId="0" borderId="1" xfId="1" applyNumberFormat="1" applyFont="1" applyFill="1" applyBorder="1" applyAlignment="1">
      <alignment horizontal="center" vertical="center"/>
    </xf>
    <xf numFmtId="0" fontId="31" fillId="0" borderId="1" xfId="1" applyNumberFormat="1" applyFont="1" applyFill="1" applyBorder="1" applyAlignment="1">
      <alignment horizontal="center" vertical="center"/>
    </xf>
    <xf numFmtId="0" fontId="6" fillId="0" borderId="0" xfId="4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1" fillId="0" borderId="0" xfId="0" applyFont="1" applyFill="1"/>
    <xf numFmtId="43" fontId="31" fillId="0" borderId="0" xfId="1" applyFont="1" applyFill="1" applyAlignment="1">
      <alignment vertical="center"/>
    </xf>
    <xf numFmtId="164" fontId="34" fillId="0" borderId="0" xfId="3" applyFont="1" applyFill="1" applyAlignment="1">
      <alignment vertical="center"/>
    </xf>
    <xf numFmtId="43" fontId="31" fillId="0" borderId="0" xfId="1" quotePrefix="1" applyFont="1" applyFill="1" applyAlignment="1">
      <alignment vertical="center"/>
    </xf>
    <xf numFmtId="43" fontId="6" fillId="0" borderId="0" xfId="1" applyFont="1" applyFill="1" applyAlignment="1">
      <alignment horizontal="left" vertical="center"/>
    </xf>
    <xf numFmtId="43" fontId="31" fillId="0" borderId="0" xfId="1" applyFont="1" applyFill="1" applyAlignment="1">
      <alignment horizontal="center" vertical="center"/>
    </xf>
    <xf numFmtId="43" fontId="31" fillId="0" borderId="0" xfId="1" applyFont="1" applyFill="1" applyAlignment="1">
      <alignment vertical="center" wrapText="1"/>
    </xf>
    <xf numFmtId="0" fontId="2" fillId="0" borderId="0" xfId="0" applyFont="1"/>
    <xf numFmtId="43" fontId="2" fillId="0" borderId="0" xfId="1" applyFont="1"/>
    <xf numFmtId="0" fontId="31" fillId="0" borderId="0" xfId="2" applyFont="1" applyFill="1" applyBorder="1" applyAlignment="1">
      <alignment horizontal="center" vertical="center" wrapText="1"/>
    </xf>
    <xf numFmtId="43" fontId="32" fillId="0" borderId="6" xfId="1" applyFont="1" applyFill="1" applyBorder="1" applyAlignment="1">
      <alignment horizontal="left" vertical="center" wrapText="1"/>
    </xf>
    <xf numFmtId="0" fontId="31" fillId="0" borderId="0" xfId="2" applyFont="1" applyFill="1" applyAlignment="1">
      <alignment horizontal="center" vertical="center" wrapText="1"/>
    </xf>
    <xf numFmtId="0" fontId="36" fillId="0" borderId="0" xfId="0" applyFont="1"/>
    <xf numFmtId="0" fontId="2" fillId="2" borderId="0" xfId="0" applyFont="1" applyFill="1"/>
    <xf numFmtId="43" fontId="2" fillId="2" borderId="0" xfId="1" applyFont="1" applyFill="1"/>
    <xf numFmtId="43" fontId="0" fillId="2" borderId="0" xfId="1" applyFont="1" applyFill="1"/>
    <xf numFmtId="0" fontId="0" fillId="2" borderId="0" xfId="0" applyFill="1"/>
    <xf numFmtId="165" fontId="6" fillId="0" borderId="1" xfId="4" applyFont="1" applyFill="1" applyBorder="1" applyAlignment="1">
      <alignment horizontal="left" vertical="center" wrapText="1"/>
    </xf>
    <xf numFmtId="43" fontId="0" fillId="2" borderId="0" xfId="0" applyNumberFormat="1" applyFill="1"/>
    <xf numFmtId="43" fontId="0" fillId="0" borderId="0" xfId="0" applyNumberFormat="1"/>
    <xf numFmtId="43" fontId="12" fillId="0" borderId="0" xfId="0" applyNumberFormat="1" applyFont="1" applyFill="1"/>
    <xf numFmtId="0" fontId="0" fillId="0" borderId="0" xfId="0" pivotButton="1"/>
    <xf numFmtId="0" fontId="0" fillId="0" borderId="0" xfId="0" applyAlignment="1">
      <alignment horizontal="left"/>
    </xf>
    <xf numFmtId="43" fontId="36" fillId="0" borderId="0" xfId="1" applyFont="1"/>
    <xf numFmtId="164" fontId="35" fillId="0" borderId="0" xfId="3" applyFont="1" applyFill="1" applyAlignment="1">
      <alignment vertical="center"/>
    </xf>
    <xf numFmtId="43" fontId="32" fillId="0" borderId="6" xfId="2" applyNumberFormat="1" applyFont="1" applyFill="1" applyBorder="1" applyAlignment="1">
      <alignment horizontal="left" vertical="center" wrapText="1"/>
    </xf>
    <xf numFmtId="165" fontId="27" fillId="0" borderId="0" xfId="11" applyFont="1" applyFill="1" applyAlignment="1">
      <alignment horizontal="center"/>
    </xf>
    <xf numFmtId="43" fontId="27" fillId="0" borderId="0" xfId="1" applyFont="1" applyFill="1"/>
    <xf numFmtId="164" fontId="12" fillId="0" borderId="1" xfId="5" applyFont="1" applyFill="1" applyBorder="1" applyAlignment="1">
      <alignment vertical="center" wrapText="1"/>
    </xf>
    <xf numFmtId="43" fontId="12" fillId="0" borderId="0" xfId="0" applyNumberFormat="1" applyFont="1" applyFill="1" applyBorder="1"/>
    <xf numFmtId="165" fontId="26" fillId="0" borderId="0" xfId="11" applyFont="1" applyFill="1" applyAlignment="1">
      <alignment horizontal="left"/>
    </xf>
    <xf numFmtId="43" fontId="26" fillId="0" borderId="0" xfId="1" applyFont="1" applyFill="1" applyAlignment="1">
      <alignment horizontal="left"/>
    </xf>
    <xf numFmtId="43" fontId="32" fillId="0" borderId="0" xfId="2" applyNumberFormat="1" applyFont="1" applyFill="1" applyAlignment="1">
      <alignment horizontal="left" vertical="center" wrapText="1"/>
    </xf>
    <xf numFmtId="164" fontId="31" fillId="0" borderId="0" xfId="2" applyNumberFormat="1" applyFont="1" applyFill="1" applyAlignment="1">
      <alignment horizontal="right" vertical="center" wrapText="1"/>
    </xf>
    <xf numFmtId="0" fontId="39" fillId="0" borderId="0" xfId="2" applyFont="1" applyFill="1" applyAlignment="1">
      <alignment horizontal="center" vertical="center"/>
    </xf>
    <xf numFmtId="0" fontId="40" fillId="0" borderId="0" xfId="2" applyFont="1" applyFill="1" applyAlignment="1">
      <alignment horizontal="center" vertical="center"/>
    </xf>
    <xf numFmtId="0" fontId="11" fillId="0" borderId="5" xfId="2" applyFont="1" applyFill="1" applyBorder="1" applyAlignment="1">
      <alignment horizontal="center" vertical="center"/>
    </xf>
    <xf numFmtId="0" fontId="40" fillId="0" borderId="5" xfId="2" applyFont="1" applyFill="1" applyBorder="1" applyAlignment="1">
      <alignment horizontal="center" vertical="center"/>
    </xf>
    <xf numFmtId="0" fontId="41" fillId="0" borderId="5" xfId="2" applyFont="1" applyFill="1" applyBorder="1" applyAlignment="1">
      <alignment horizontal="center" vertical="center"/>
    </xf>
    <xf numFmtId="0" fontId="11" fillId="0" borderId="0" xfId="2" applyFont="1" applyFill="1" applyAlignment="1">
      <alignment horizontal="center" vertical="center"/>
    </xf>
    <xf numFmtId="49" fontId="40" fillId="0" borderId="0" xfId="1" applyNumberFormat="1" applyFont="1" applyFill="1" applyAlignment="1">
      <alignment horizontal="center" vertical="center"/>
    </xf>
    <xf numFmtId="49" fontId="40" fillId="0" borderId="0" xfId="2" applyNumberFormat="1" applyFont="1" applyFill="1" applyAlignment="1">
      <alignment horizontal="center" vertical="center"/>
    </xf>
    <xf numFmtId="0" fontId="33" fillId="0" borderId="1" xfId="2" applyFont="1" applyFill="1" applyBorder="1" applyAlignment="1">
      <alignment horizontal="center" vertical="center"/>
    </xf>
    <xf numFmtId="0" fontId="33" fillId="0" borderId="1" xfId="2" applyFont="1" applyFill="1" applyBorder="1" applyAlignment="1">
      <alignment vertical="center" wrapText="1"/>
    </xf>
    <xf numFmtId="0" fontId="32" fillId="0" borderId="1" xfId="2" applyFont="1" applyFill="1" applyBorder="1" applyAlignment="1">
      <alignment horizontal="center" vertical="center"/>
    </xf>
    <xf numFmtId="0" fontId="32" fillId="0" borderId="1" xfId="2" applyFont="1" applyFill="1" applyBorder="1" applyAlignment="1">
      <alignment horizontal="left" vertical="center" wrapText="1"/>
    </xf>
    <xf numFmtId="43" fontId="32" fillId="0" borderId="1" xfId="1" applyFont="1" applyFill="1" applyBorder="1" applyAlignment="1">
      <alignment horizontal="left" vertical="center" wrapText="1"/>
    </xf>
    <xf numFmtId="43" fontId="32" fillId="0" borderId="1" xfId="2" applyNumberFormat="1" applyFont="1" applyFill="1" applyBorder="1" applyAlignment="1">
      <alignment horizontal="left" vertical="center" wrapText="1"/>
    </xf>
    <xf numFmtId="0" fontId="31" fillId="0" borderId="1" xfId="2" applyFont="1" applyFill="1" applyBorder="1" applyAlignment="1">
      <alignment vertical="center"/>
    </xf>
    <xf numFmtId="0" fontId="33" fillId="0" borderId="1" xfId="2" applyFont="1" applyFill="1" applyBorder="1" applyAlignment="1">
      <alignment vertical="center"/>
    </xf>
    <xf numFmtId="0" fontId="34" fillId="0" borderId="0" xfId="2" applyFont="1" applyFill="1" applyBorder="1" applyAlignment="1">
      <alignment vertical="center"/>
    </xf>
    <xf numFmtId="0" fontId="32" fillId="0" borderId="0" xfId="2" applyFont="1" applyFill="1" applyBorder="1" applyAlignment="1">
      <alignment horizontal="center" vertical="center"/>
    </xf>
    <xf numFmtId="164" fontId="32" fillId="0" borderId="0" xfId="2" applyNumberFormat="1" applyFont="1" applyFill="1" applyBorder="1" applyAlignment="1">
      <alignment vertical="center" wrapText="1"/>
    </xf>
    <xf numFmtId="164" fontId="31" fillId="0" borderId="0" xfId="3" applyFont="1" applyFill="1" applyBorder="1" applyAlignment="1">
      <alignment vertical="center"/>
    </xf>
    <xf numFmtId="43" fontId="32" fillId="0" borderId="0" xfId="2" applyNumberFormat="1" applyFont="1" applyFill="1" applyBorder="1" applyAlignment="1">
      <alignment vertical="center" wrapText="1"/>
    </xf>
    <xf numFmtId="0" fontId="32" fillId="0" borderId="0" xfId="2" applyFont="1" applyFill="1" applyBorder="1" applyAlignment="1">
      <alignment vertical="center"/>
    </xf>
    <xf numFmtId="164" fontId="32" fillId="0" borderId="0" xfId="1" applyNumberFormat="1" applyFont="1" applyFill="1" applyBorder="1" applyAlignment="1">
      <alignment vertical="center"/>
    </xf>
    <xf numFmtId="164" fontId="32" fillId="0" borderId="0" xfId="1" applyNumberFormat="1" applyFont="1" applyFill="1" applyBorder="1" applyAlignment="1">
      <alignment horizontal="center" vertical="center"/>
    </xf>
    <xf numFmtId="0" fontId="31" fillId="0" borderId="0" xfId="2" applyFont="1" applyFill="1" applyBorder="1" applyAlignment="1">
      <alignment vertical="center" wrapText="1"/>
    </xf>
    <xf numFmtId="43" fontId="32" fillId="0" borderId="0" xfId="2" applyNumberFormat="1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164" fontId="31" fillId="0" borderId="0" xfId="2" applyNumberFormat="1" applyFont="1" applyFill="1" applyBorder="1" applyAlignment="1">
      <alignment vertical="center"/>
    </xf>
    <xf numFmtId="0" fontId="32" fillId="0" borderId="0" xfId="2" applyFont="1" applyFill="1" applyBorder="1" applyAlignment="1">
      <alignment horizontal="left" vertical="center" wrapText="1"/>
    </xf>
    <xf numFmtId="164" fontId="32" fillId="0" borderId="0" xfId="3" applyFont="1" applyFill="1" applyBorder="1" applyAlignment="1">
      <alignment horizontal="left" vertical="center"/>
    </xf>
    <xf numFmtId="0" fontId="32" fillId="0" borderId="0" xfId="2" applyFont="1" applyFill="1" applyBorder="1" applyAlignment="1">
      <alignment horizontal="left" vertical="center"/>
    </xf>
    <xf numFmtId="0" fontId="32" fillId="0" borderId="0" xfId="2" applyFont="1" applyFill="1" applyBorder="1" applyAlignment="1">
      <alignment vertical="center" wrapText="1"/>
    </xf>
    <xf numFmtId="0" fontId="31" fillId="0" borderId="0" xfId="2" applyFont="1" applyFill="1" applyBorder="1" applyAlignment="1">
      <alignment horizontal="left" vertical="center" wrapText="1"/>
    </xf>
    <xf numFmtId="164" fontId="31" fillId="0" borderId="0" xfId="1" applyNumberFormat="1" applyFont="1" applyFill="1" applyBorder="1" applyAlignment="1">
      <alignment vertical="center"/>
    </xf>
    <xf numFmtId="164" fontId="31" fillId="0" borderId="0" xfId="1" applyNumberFormat="1" applyFont="1" applyFill="1" applyBorder="1" applyAlignment="1">
      <alignment horizontal="center" vertical="center"/>
    </xf>
    <xf numFmtId="0" fontId="31" fillId="0" borderId="0" xfId="2" applyFont="1" applyFill="1" applyBorder="1" applyAlignment="1">
      <alignment horizontal="left" vertical="center"/>
    </xf>
    <xf numFmtId="164" fontId="32" fillId="0" borderId="0" xfId="3" applyFont="1" applyFill="1" applyBorder="1" applyAlignment="1">
      <alignment vertical="center" wrapText="1"/>
    </xf>
    <xf numFmtId="164" fontId="31" fillId="0" borderId="0" xfId="3" applyFont="1" applyFill="1" applyBorder="1" applyAlignment="1">
      <alignment horizontal="left" vertical="center"/>
    </xf>
    <xf numFmtId="0" fontId="31" fillId="0" borderId="0" xfId="2" applyFont="1" applyFill="1" applyBorder="1" applyAlignment="1">
      <alignment horizontal="center" vertical="center"/>
    </xf>
    <xf numFmtId="165" fontId="27" fillId="0" borderId="0" xfId="11" applyFont="1" applyFill="1" applyBorder="1" applyAlignment="1">
      <alignment horizontal="center"/>
    </xf>
    <xf numFmtId="164" fontId="32" fillId="0" borderId="0" xfId="5" applyFont="1" applyFill="1" applyBorder="1" applyAlignment="1">
      <alignment vertical="center"/>
    </xf>
    <xf numFmtId="164" fontId="32" fillId="0" borderId="0" xfId="2" applyNumberFormat="1" applyFont="1" applyFill="1" applyBorder="1" applyAlignment="1">
      <alignment vertical="center"/>
    </xf>
    <xf numFmtId="43" fontId="27" fillId="0" borderId="0" xfId="1" applyFont="1" applyFill="1" applyBorder="1"/>
    <xf numFmtId="0" fontId="32" fillId="0" borderId="0" xfId="2" applyFont="1" applyFill="1" applyBorder="1" applyAlignment="1">
      <alignment horizontal="center" vertical="center" wrapText="1"/>
    </xf>
    <xf numFmtId="164" fontId="31" fillId="0" borderId="0" xfId="3" applyFont="1" applyFill="1" applyBorder="1" applyAlignment="1">
      <alignment vertical="center" wrapText="1"/>
    </xf>
    <xf numFmtId="164" fontId="32" fillId="0" borderId="0" xfId="3" applyFont="1" applyFill="1" applyBorder="1" applyAlignment="1">
      <alignment horizontal="centerContinuous" vertical="center"/>
    </xf>
    <xf numFmtId="43" fontId="31" fillId="0" borderId="0" xfId="1" applyFont="1" applyFill="1" applyBorder="1" applyAlignment="1">
      <alignment vertical="center" wrapText="1"/>
    </xf>
    <xf numFmtId="43" fontId="31" fillId="0" borderId="0" xfId="1" applyFont="1" applyFill="1" applyBorder="1" applyAlignment="1">
      <alignment horizontal="center" vertical="center"/>
    </xf>
    <xf numFmtId="43" fontId="31" fillId="0" borderId="0" xfId="1" applyFont="1" applyFill="1" applyBorder="1" applyAlignment="1">
      <alignment vertical="center"/>
    </xf>
    <xf numFmtId="49" fontId="31" fillId="0" borderId="0" xfId="1" applyNumberFormat="1" applyFont="1" applyFill="1" applyBorder="1" applyAlignment="1">
      <alignment horizontal="center" vertical="center"/>
    </xf>
    <xf numFmtId="49" fontId="31" fillId="0" borderId="0" xfId="2" applyNumberFormat="1" applyFont="1" applyFill="1" applyBorder="1" applyAlignment="1">
      <alignment horizontal="center" vertical="center"/>
    </xf>
    <xf numFmtId="0" fontId="31" fillId="0" borderId="0" xfId="0" applyFont="1" applyFill="1" applyBorder="1"/>
    <xf numFmtId="43" fontId="31" fillId="0" borderId="0" xfId="1" quotePrefix="1" applyFont="1" applyFill="1" applyBorder="1" applyAlignment="1">
      <alignment vertical="center"/>
    </xf>
    <xf numFmtId="43" fontId="31" fillId="0" borderId="0" xfId="2" applyNumberFormat="1" applyFont="1" applyFill="1" applyBorder="1" applyAlignment="1">
      <alignment vertical="center"/>
    </xf>
    <xf numFmtId="164" fontId="33" fillId="0" borderId="0" xfId="3" applyFont="1" applyFill="1" applyBorder="1" applyAlignment="1">
      <alignment vertical="center"/>
    </xf>
    <xf numFmtId="0" fontId="33" fillId="0" borderId="0" xfId="2" applyFont="1" applyFill="1" applyBorder="1" applyAlignment="1">
      <alignment vertical="center"/>
    </xf>
    <xf numFmtId="164" fontId="34" fillId="0" borderId="0" xfId="3" applyFont="1" applyFill="1" applyBorder="1" applyAlignment="1">
      <alignment vertical="center"/>
    </xf>
    <xf numFmtId="164" fontId="31" fillId="0" borderId="0" xfId="3" applyFont="1" applyFill="1" applyBorder="1" applyAlignment="1">
      <alignment horizontal="right" vertical="center"/>
    </xf>
    <xf numFmtId="164" fontId="32" fillId="0" borderId="0" xfId="3" applyFont="1" applyFill="1" applyAlignment="1">
      <alignment horizontal="center" vertical="center"/>
    </xf>
    <xf numFmtId="0" fontId="31" fillId="0" borderId="1" xfId="2" applyFont="1" applyFill="1" applyBorder="1" applyAlignment="1">
      <alignment horizontal="center" vertical="center"/>
    </xf>
    <xf numFmtId="0" fontId="31" fillId="0" borderId="6" xfId="2" applyFont="1" applyFill="1" applyBorder="1" applyAlignment="1">
      <alignment horizontal="center" vertical="center"/>
    </xf>
    <xf numFmtId="0" fontId="31" fillId="0" borderId="6" xfId="2" applyFont="1" applyFill="1" applyBorder="1" applyAlignment="1">
      <alignment horizontal="left" vertical="center" wrapText="1"/>
    </xf>
    <xf numFmtId="0" fontId="32" fillId="0" borderId="1" xfId="2" applyFont="1" applyFill="1" applyBorder="1" applyAlignment="1">
      <alignment horizontal="center" vertical="center" wrapText="1"/>
    </xf>
    <xf numFmtId="0" fontId="31" fillId="0" borderId="1" xfId="2" applyFont="1" applyFill="1" applyBorder="1" applyAlignment="1">
      <alignment horizontal="center" vertical="center"/>
    </xf>
    <xf numFmtId="164" fontId="32" fillId="0" borderId="0" xfId="3" applyFont="1" applyFill="1" applyBorder="1" applyAlignment="1">
      <alignment horizontal="center" vertical="center"/>
    </xf>
    <xf numFmtId="0" fontId="31" fillId="0" borderId="1" xfId="2" applyFont="1" applyFill="1" applyBorder="1" applyAlignment="1">
      <alignment horizontal="left" vertical="center" wrapText="1"/>
    </xf>
    <xf numFmtId="164" fontId="31" fillId="0" borderId="0" xfId="3" applyFont="1" applyFill="1" applyBorder="1" applyAlignment="1">
      <alignment horizontal="center" vertical="center"/>
    </xf>
    <xf numFmtId="0" fontId="32" fillId="0" borderId="12" xfId="2" applyFont="1" applyFill="1" applyBorder="1" applyAlignment="1">
      <alignment vertical="center"/>
    </xf>
    <xf numFmtId="0" fontId="32" fillId="0" borderId="12" xfId="2" applyFont="1" applyFill="1" applyBorder="1" applyAlignment="1">
      <alignment horizontal="center" vertical="center"/>
    </xf>
    <xf numFmtId="0" fontId="32" fillId="0" borderId="12" xfId="2" applyFont="1" applyFill="1" applyBorder="1" applyAlignment="1">
      <alignment vertical="center" wrapText="1"/>
    </xf>
    <xf numFmtId="164" fontId="32" fillId="0" borderId="12" xfId="3" applyFont="1" applyFill="1" applyBorder="1" applyAlignment="1">
      <alignment horizontal="left" vertical="center"/>
    </xf>
    <xf numFmtId="164" fontId="32" fillId="0" borderId="12" xfId="3" applyFont="1" applyFill="1" applyBorder="1" applyAlignment="1">
      <alignment vertical="center"/>
    </xf>
    <xf numFmtId="164" fontId="32" fillId="0" borderId="12" xfId="3" applyFont="1" applyFill="1" applyBorder="1" applyAlignment="1">
      <alignment vertical="center" wrapText="1"/>
    </xf>
    <xf numFmtId="43" fontId="2" fillId="3" borderId="0" xfId="1" applyFont="1" applyFill="1" applyAlignment="1">
      <alignment horizontal="left"/>
    </xf>
    <xf numFmtId="43" fontId="2" fillId="2" borderId="0" xfId="1" applyFont="1" applyFill="1" applyAlignment="1">
      <alignment horizontal="left"/>
    </xf>
    <xf numFmtId="0" fontId="0" fillId="0" borderId="0" xfId="0" applyNumberFormat="1"/>
    <xf numFmtId="43" fontId="2" fillId="0" borderId="0" xfId="1" applyFont="1" applyFill="1" applyBorder="1" applyAlignment="1">
      <alignment horizontal="center"/>
    </xf>
    <xf numFmtId="43" fontId="0" fillId="0" borderId="0" xfId="1" applyFont="1" applyFill="1" applyBorder="1"/>
    <xf numFmtId="43" fontId="0" fillId="0" borderId="0" xfId="1" applyFont="1" applyFill="1" applyBorder="1" applyAlignment="1">
      <alignment horizontal="center"/>
    </xf>
    <xf numFmtId="43" fontId="2" fillId="0" borderId="0" xfId="1" applyFont="1" applyFill="1" applyBorder="1"/>
    <xf numFmtId="0" fontId="0" fillId="0" borderId="0" xfId="0" applyFill="1" applyBorder="1"/>
    <xf numFmtId="0" fontId="2" fillId="0" borderId="0" xfId="0" applyFont="1" applyFill="1" applyBorder="1"/>
    <xf numFmtId="43" fontId="0" fillId="0" borderId="0" xfId="0" applyNumberFormat="1" applyFill="1" applyBorder="1"/>
    <xf numFmtId="0" fontId="0" fillId="0" borderId="0" xfId="0" applyFill="1" applyBorder="1" applyAlignment="1">
      <alignment wrapText="1"/>
    </xf>
    <xf numFmtId="43" fontId="36" fillId="0" borderId="0" xfId="1" applyFont="1" applyFill="1" applyBorder="1"/>
    <xf numFmtId="0" fontId="36" fillId="0" borderId="0" xfId="0" applyFont="1" applyFill="1" applyBorder="1" applyAlignment="1">
      <alignment wrapText="1"/>
    </xf>
    <xf numFmtId="0" fontId="36" fillId="0" borderId="0" xfId="0" applyFont="1" applyFill="1" applyBorder="1"/>
    <xf numFmtId="43" fontId="2" fillId="0" borderId="0" xfId="0" applyNumberFormat="1" applyFont="1" applyFill="1" applyBorder="1" applyAlignment="1">
      <alignment horizontal="center"/>
    </xf>
    <xf numFmtId="0" fontId="0" fillId="0" borderId="0" xfId="0" quotePrefix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 quotePrefix="1" applyFill="1" applyBorder="1"/>
    <xf numFmtId="0" fontId="0" fillId="2" borderId="0" xfId="0" applyFill="1" applyAlignment="1">
      <alignment horizontal="left"/>
    </xf>
    <xf numFmtId="43" fontId="0" fillId="0" borderId="0" xfId="1" applyFont="1" applyAlignment="1">
      <alignment horizontal="center" vertical="center"/>
    </xf>
    <xf numFmtId="43" fontId="2" fillId="0" borderId="0" xfId="1" applyFont="1" applyFill="1" applyBorder="1" applyAlignment="1">
      <alignment horizontal="center" vertical="center"/>
    </xf>
    <xf numFmtId="43" fontId="0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43" fontId="0" fillId="0" borderId="0" xfId="1" applyFont="1" applyFill="1" applyBorder="1" applyAlignment="1">
      <alignment horizontal="center" vertical="center"/>
    </xf>
    <xf numFmtId="0" fontId="0" fillId="0" borderId="0" xfId="0" applyNumberFormat="1" applyFill="1" applyBorder="1"/>
    <xf numFmtId="0" fontId="0" fillId="0" borderId="0" xfId="1" applyNumberFormat="1" applyFont="1"/>
    <xf numFmtId="0" fontId="2" fillId="2" borderId="0" xfId="1" applyNumberFormat="1" applyFont="1" applyFill="1"/>
    <xf numFmtId="0" fontId="2" fillId="2" borderId="0" xfId="0" applyNumberFormat="1" applyFont="1" applyFill="1"/>
    <xf numFmtId="43" fontId="1" fillId="2" borderId="0" xfId="1" applyFont="1" applyFill="1"/>
    <xf numFmtId="164" fontId="11" fillId="4" borderId="0" xfId="3" applyFont="1" applyFill="1" applyBorder="1" applyAlignment="1">
      <alignment vertical="center"/>
    </xf>
    <xf numFmtId="164" fontId="40" fillId="4" borderId="0" xfId="3" applyFont="1" applyFill="1" applyBorder="1" applyAlignment="1">
      <alignment vertical="center"/>
    </xf>
    <xf numFmtId="43" fontId="2" fillId="3" borderId="0" xfId="0" applyNumberFormat="1" applyFont="1" applyFill="1" applyBorder="1"/>
    <xf numFmtId="0" fontId="0" fillId="3" borderId="0" xfId="0" applyFill="1" applyAlignment="1">
      <alignment horizontal="left"/>
    </xf>
    <xf numFmtId="43" fontId="0" fillId="3" borderId="0" xfId="0" applyNumberFormat="1" applyFill="1"/>
    <xf numFmtId="0" fontId="0" fillId="0" borderId="0" xfId="0" applyFill="1" applyBorder="1" applyAlignment="1"/>
    <xf numFmtId="0" fontId="0" fillId="3" borderId="0" xfId="0" applyFill="1" applyBorder="1"/>
    <xf numFmtId="43" fontId="0" fillId="3" borderId="0" xfId="0" applyNumberFormat="1" applyFill="1" applyBorder="1"/>
    <xf numFmtId="43" fontId="0" fillId="3" borderId="0" xfId="1" applyFont="1" applyFill="1" applyBorder="1"/>
    <xf numFmtId="0" fontId="2" fillId="3" borderId="0" xfId="0" applyFont="1" applyFill="1" applyBorder="1"/>
    <xf numFmtId="43" fontId="2" fillId="3" borderId="0" xfId="1" applyFont="1" applyFill="1" applyBorder="1"/>
    <xf numFmtId="0" fontId="32" fillId="2" borderId="1" xfId="2" applyFont="1" applyFill="1" applyBorder="1" applyAlignment="1">
      <alignment horizontal="left" vertical="center" wrapText="1"/>
    </xf>
    <xf numFmtId="43" fontId="32" fillId="2" borderId="1" xfId="1" applyFont="1" applyFill="1" applyBorder="1" applyAlignment="1">
      <alignment horizontal="left" vertical="center" wrapText="1"/>
    </xf>
    <xf numFmtId="0" fontId="31" fillId="0" borderId="1" xfId="2" applyFont="1" applyFill="1" applyBorder="1" applyAlignment="1">
      <alignment horizontal="center" vertical="center"/>
    </xf>
    <xf numFmtId="0" fontId="32" fillId="0" borderId="1" xfId="2" applyFont="1" applyFill="1" applyBorder="1" applyAlignment="1">
      <alignment horizontal="center" vertical="center" wrapText="1"/>
    </xf>
    <xf numFmtId="164" fontId="35" fillId="0" borderId="0" xfId="3" applyFont="1" applyFill="1" applyBorder="1" applyAlignment="1">
      <alignment vertical="center"/>
    </xf>
    <xf numFmtId="0" fontId="6" fillId="0" borderId="1" xfId="2" applyFont="1" applyFill="1" applyBorder="1" applyAlignment="1">
      <alignment horizontal="center" vertical="center"/>
    </xf>
    <xf numFmtId="0" fontId="6" fillId="0" borderId="1" xfId="4" applyNumberFormat="1" applyFont="1" applyFill="1" applyBorder="1" applyAlignment="1">
      <alignment horizontal="center"/>
    </xf>
    <xf numFmtId="164" fontId="11" fillId="0" borderId="0" xfId="3" applyFont="1" applyFill="1" applyBorder="1" applyAlignment="1">
      <alignment vertical="center"/>
    </xf>
    <xf numFmtId="0" fontId="0" fillId="0" borderId="0" xfId="0" applyFont="1" applyFill="1" applyBorder="1"/>
    <xf numFmtId="43" fontId="0" fillId="5" borderId="0" xfId="1" applyFont="1" applyFill="1" applyBorder="1"/>
    <xf numFmtId="43" fontId="2" fillId="6" borderId="0" xfId="1" applyFont="1" applyFill="1" applyAlignment="1">
      <alignment horizontal="left"/>
    </xf>
    <xf numFmtId="43" fontId="0" fillId="6" borderId="0" xfId="1" applyFont="1" applyFill="1" applyBorder="1"/>
    <xf numFmtId="0" fontId="2" fillId="6" borderId="0" xfId="0" applyFont="1" applyFill="1" applyBorder="1"/>
    <xf numFmtId="43" fontId="2" fillId="6" borderId="0" xfId="1" applyFont="1" applyFill="1" applyBorder="1"/>
    <xf numFmtId="0" fontId="0" fillId="7" borderId="0" xfId="0" applyFill="1" applyAlignment="1">
      <alignment horizontal="left"/>
    </xf>
    <xf numFmtId="43" fontId="0" fillId="7" borderId="0" xfId="0" applyNumberFormat="1" applyFill="1"/>
    <xf numFmtId="0" fontId="0" fillId="5" borderId="0" xfId="0" applyFill="1" applyAlignment="1">
      <alignment horizontal="left"/>
    </xf>
    <xf numFmtId="43" fontId="0" fillId="5" borderId="0" xfId="0" applyNumberFormat="1" applyFill="1"/>
    <xf numFmtId="0" fontId="2" fillId="5" borderId="0" xfId="0" applyFont="1" applyFill="1" applyBorder="1"/>
    <xf numFmtId="0" fontId="0" fillId="5" borderId="0" xfId="0" applyFill="1" applyBorder="1"/>
    <xf numFmtId="0" fontId="0" fillId="5" borderId="0" xfId="0" applyFill="1"/>
    <xf numFmtId="43" fontId="0" fillId="5" borderId="0" xfId="1" applyFont="1" applyFill="1"/>
    <xf numFmtId="43" fontId="0" fillId="0" borderId="0" xfId="1" quotePrefix="1" applyFont="1" applyFill="1" applyBorder="1" applyAlignment="1">
      <alignment horizontal="right"/>
    </xf>
    <xf numFmtId="43" fontId="0" fillId="0" borderId="0" xfId="1" applyFont="1" applyFill="1" applyBorder="1" applyAlignment="1">
      <alignment horizontal="right"/>
    </xf>
    <xf numFmtId="0" fontId="2" fillId="0" borderId="0" xfId="0" applyFont="1" applyFill="1" applyBorder="1" applyAlignment="1"/>
    <xf numFmtId="43" fontId="2" fillId="0" borderId="0" xfId="0" applyNumberFormat="1" applyFont="1" applyFill="1" applyBorder="1" applyAlignment="1"/>
    <xf numFmtId="49" fontId="0" fillId="0" borderId="0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center"/>
    </xf>
    <xf numFmtId="43" fontId="2" fillId="8" borderId="0" xfId="1" applyFont="1" applyFill="1" applyAlignment="1">
      <alignment horizontal="left"/>
    </xf>
    <xf numFmtId="43" fontId="0" fillId="8" borderId="0" xfId="1" applyFont="1" applyFill="1" applyBorder="1"/>
    <xf numFmtId="0" fontId="0" fillId="8" borderId="0" xfId="0" applyFill="1" applyAlignment="1">
      <alignment horizontal="left"/>
    </xf>
    <xf numFmtId="43" fontId="0" fillId="8" borderId="0" xfId="1" applyFont="1" applyFill="1"/>
    <xf numFmtId="43" fontId="0" fillId="8" borderId="0" xfId="0" applyNumberFormat="1" applyFill="1"/>
    <xf numFmtId="0" fontId="0" fillId="8" borderId="0" xfId="0" applyFill="1" applyBorder="1"/>
    <xf numFmtId="43" fontId="0" fillId="8" borderId="0" xfId="0" applyNumberFormat="1" applyFill="1" applyBorder="1"/>
    <xf numFmtId="49" fontId="0" fillId="8" borderId="0" xfId="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32" fillId="0" borderId="1" xfId="3" applyNumberFormat="1" applyFont="1" applyFill="1" applyBorder="1" applyAlignment="1">
      <alignment horizontal="left" vertical="center"/>
    </xf>
    <xf numFmtId="0" fontId="31" fillId="0" borderId="13" xfId="2" applyFont="1" applyFill="1" applyBorder="1" applyAlignment="1">
      <alignment vertical="center" wrapText="1"/>
    </xf>
    <xf numFmtId="0" fontId="31" fillId="0" borderId="13" xfId="2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0" fontId="3" fillId="0" borderId="0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vertical="center" wrapText="1"/>
    </xf>
    <xf numFmtId="0" fontId="31" fillId="0" borderId="13" xfId="2" applyFont="1" applyFill="1" applyBorder="1" applyAlignment="1">
      <alignment horizontal="center" vertical="center"/>
    </xf>
    <xf numFmtId="0" fontId="31" fillId="0" borderId="13" xfId="2" applyFont="1" applyFill="1" applyBorder="1" applyAlignment="1">
      <alignment horizontal="center" vertical="center" wrapText="1"/>
    </xf>
    <xf numFmtId="164" fontId="32" fillId="0" borderId="13" xfId="3" applyFont="1" applyFill="1" applyBorder="1" applyAlignment="1">
      <alignment vertical="center"/>
    </xf>
    <xf numFmtId="0" fontId="32" fillId="0" borderId="13" xfId="2" applyFont="1" applyFill="1" applyBorder="1" applyAlignment="1">
      <alignment vertical="center" wrapText="1"/>
    </xf>
    <xf numFmtId="0" fontId="32" fillId="0" borderId="13" xfId="2" applyFont="1" applyFill="1" applyBorder="1" applyAlignment="1">
      <alignment vertical="center"/>
    </xf>
    <xf numFmtId="164" fontId="32" fillId="0" borderId="13" xfId="1" applyNumberFormat="1" applyFont="1" applyFill="1" applyBorder="1" applyAlignment="1">
      <alignment vertical="center"/>
    </xf>
    <xf numFmtId="164" fontId="32" fillId="0" borderId="13" xfId="1" applyNumberFormat="1" applyFont="1" applyFill="1" applyBorder="1" applyAlignment="1">
      <alignment horizontal="center" vertical="center"/>
    </xf>
    <xf numFmtId="0" fontId="32" fillId="0" borderId="9" xfId="2" applyFont="1" applyFill="1" applyBorder="1" applyAlignment="1">
      <alignment vertical="center"/>
    </xf>
    <xf numFmtId="0" fontId="3" fillId="0" borderId="11" xfId="2" applyFont="1" applyFill="1" applyBorder="1" applyAlignment="1">
      <alignment vertical="center"/>
    </xf>
    <xf numFmtId="0" fontId="3" fillId="0" borderId="11" xfId="2" applyFont="1" applyFill="1" applyBorder="1" applyAlignment="1">
      <alignment horizontal="center" vertical="center"/>
    </xf>
    <xf numFmtId="0" fontId="3" fillId="0" borderId="11" xfId="2" applyFont="1" applyFill="1" applyBorder="1" applyAlignment="1">
      <alignment vertical="center" wrapText="1"/>
    </xf>
    <xf numFmtId="164" fontId="31" fillId="0" borderId="11" xfId="3" applyFont="1" applyFill="1" applyBorder="1" applyAlignment="1">
      <alignment vertical="center"/>
    </xf>
    <xf numFmtId="0" fontId="31" fillId="0" borderId="11" xfId="2" applyFont="1" applyFill="1" applyBorder="1" applyAlignment="1">
      <alignment vertical="center" wrapText="1"/>
    </xf>
    <xf numFmtId="0" fontId="31" fillId="0" borderId="11" xfId="2" applyFont="1" applyFill="1" applyBorder="1" applyAlignment="1">
      <alignment vertical="center"/>
    </xf>
    <xf numFmtId="164" fontId="31" fillId="0" borderId="11" xfId="1" applyNumberFormat="1" applyFont="1" applyFill="1" applyBorder="1" applyAlignment="1">
      <alignment vertical="center"/>
    </xf>
    <xf numFmtId="164" fontId="31" fillId="0" borderId="11" xfId="1" applyNumberFormat="1" applyFont="1" applyFill="1" applyBorder="1" applyAlignment="1">
      <alignment horizontal="center" vertical="center"/>
    </xf>
    <xf numFmtId="43" fontId="31" fillId="0" borderId="11" xfId="1" applyFont="1" applyFill="1" applyBorder="1" applyAlignment="1">
      <alignment vertical="center"/>
    </xf>
    <xf numFmtId="164" fontId="31" fillId="0" borderId="11" xfId="2" applyNumberFormat="1" applyFont="1" applyFill="1" applyBorder="1" applyAlignment="1">
      <alignment vertical="center"/>
    </xf>
    <xf numFmtId="43" fontId="31" fillId="0" borderId="11" xfId="2" applyNumberFormat="1" applyFont="1" applyFill="1" applyBorder="1" applyAlignment="1">
      <alignment vertical="center"/>
    </xf>
    <xf numFmtId="43" fontId="0" fillId="0" borderId="0" xfId="1" applyNumberFormat="1" applyFont="1" applyFill="1" applyBorder="1"/>
    <xf numFmtId="43" fontId="36" fillId="0" borderId="0" xfId="1" applyNumberFormat="1" applyFont="1" applyFill="1" applyBorder="1"/>
    <xf numFmtId="0" fontId="2" fillId="0" borderId="0" xfId="0" applyFont="1" applyFill="1" applyBorder="1" applyAlignment="1">
      <alignment horizontal="center" vertical="center"/>
    </xf>
    <xf numFmtId="4" fontId="31" fillId="0" borderId="0" xfId="3" applyNumberFormat="1" applyFont="1" applyFill="1" applyBorder="1" applyAlignment="1">
      <alignment vertical="center"/>
    </xf>
    <xf numFmtId="164" fontId="31" fillId="0" borderId="1" xfId="3" applyNumberFormat="1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164" fontId="5" fillId="0" borderId="1" xfId="5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0" fontId="31" fillId="0" borderId="1" xfId="2" applyFont="1" applyFill="1" applyBorder="1" applyAlignment="1">
      <alignment horizontal="center" vertical="center"/>
    </xf>
    <xf numFmtId="164" fontId="32" fillId="0" borderId="0" xfId="3" applyFont="1" applyFill="1" applyBorder="1" applyAlignment="1">
      <alignment horizontal="center" vertical="center"/>
    </xf>
    <xf numFmtId="0" fontId="32" fillId="0" borderId="1" xfId="2" applyFont="1" applyFill="1" applyBorder="1" applyAlignment="1">
      <alignment horizontal="center" vertical="center" wrapText="1"/>
    </xf>
    <xf numFmtId="0" fontId="31" fillId="0" borderId="1" xfId="2" applyFont="1" applyFill="1" applyBorder="1" applyAlignment="1">
      <alignment horizontal="left" vertical="center" wrapText="1"/>
    </xf>
    <xf numFmtId="164" fontId="31" fillId="0" borderId="0" xfId="3" applyFont="1" applyFill="1" applyBorder="1" applyAlignment="1">
      <alignment horizontal="center" vertical="center"/>
    </xf>
    <xf numFmtId="43" fontId="32" fillId="0" borderId="0" xfId="1" applyFont="1" applyFill="1" applyBorder="1" applyAlignment="1">
      <alignment vertical="center"/>
    </xf>
    <xf numFmtId="164" fontId="40" fillId="0" borderId="0" xfId="3" applyFont="1" applyFill="1" applyBorder="1" applyAlignment="1">
      <alignment vertical="center"/>
    </xf>
    <xf numFmtId="164" fontId="32" fillId="0" borderId="0" xfId="3" applyFont="1" applyFill="1" applyAlignment="1">
      <alignment horizontal="center" vertical="center"/>
    </xf>
    <xf numFmtId="0" fontId="31" fillId="0" borderId="1" xfId="2" applyFont="1" applyFill="1" applyBorder="1" applyAlignment="1">
      <alignment horizontal="center" vertical="center"/>
    </xf>
    <xf numFmtId="164" fontId="31" fillId="0" borderId="1" xfId="3" applyFont="1" applyFill="1" applyBorder="1" applyAlignment="1">
      <alignment horizontal="center" vertical="center" wrapText="1"/>
    </xf>
    <xf numFmtId="0" fontId="32" fillId="0" borderId="2" xfId="2" applyFont="1" applyFill="1" applyBorder="1" applyAlignment="1">
      <alignment horizontal="center" vertical="center" wrapText="1"/>
    </xf>
    <xf numFmtId="0" fontId="32" fillId="0" borderId="3" xfId="2" applyFont="1" applyFill="1" applyBorder="1" applyAlignment="1">
      <alignment horizontal="center" vertical="center" wrapText="1"/>
    </xf>
    <xf numFmtId="0" fontId="32" fillId="0" borderId="7" xfId="2" applyFont="1" applyFill="1" applyBorder="1" applyAlignment="1">
      <alignment horizontal="center" vertical="center" wrapText="1"/>
    </xf>
    <xf numFmtId="0" fontId="32" fillId="0" borderId="8" xfId="2" applyFont="1" applyFill="1" applyBorder="1" applyAlignment="1">
      <alignment horizontal="center" vertical="center" wrapText="1"/>
    </xf>
    <xf numFmtId="0" fontId="32" fillId="0" borderId="9" xfId="2" applyFont="1" applyFill="1" applyBorder="1" applyAlignment="1">
      <alignment horizontal="center" vertical="center" wrapText="1"/>
    </xf>
    <xf numFmtId="0" fontId="32" fillId="0" borderId="10" xfId="2" applyFont="1" applyFill="1" applyBorder="1" applyAlignment="1">
      <alignment horizontal="center" vertical="center" wrapText="1"/>
    </xf>
    <xf numFmtId="0" fontId="31" fillId="0" borderId="4" xfId="2" applyFont="1" applyFill="1" applyBorder="1" applyAlignment="1">
      <alignment horizontal="center" vertical="center"/>
    </xf>
    <xf numFmtId="0" fontId="31" fillId="0" borderId="5" xfId="2" applyFont="1" applyFill="1" applyBorder="1" applyAlignment="1">
      <alignment horizontal="center" vertical="center"/>
    </xf>
    <xf numFmtId="0" fontId="31" fillId="0" borderId="6" xfId="2" applyFont="1" applyFill="1" applyBorder="1" applyAlignment="1">
      <alignment horizontal="center" vertical="center"/>
    </xf>
    <xf numFmtId="0" fontId="31" fillId="0" borderId="4" xfId="2" applyFont="1" applyFill="1" applyBorder="1" applyAlignment="1">
      <alignment horizontal="left" vertical="center" wrapText="1"/>
    </xf>
    <xf numFmtId="0" fontId="31" fillId="0" borderId="5" xfId="2" applyFont="1" applyFill="1" applyBorder="1" applyAlignment="1">
      <alignment horizontal="left" vertical="center" wrapText="1"/>
    </xf>
    <xf numFmtId="0" fontId="31" fillId="0" borderId="6" xfId="2" applyFont="1" applyFill="1" applyBorder="1" applyAlignment="1">
      <alignment horizontal="left" vertical="center" wrapText="1"/>
    </xf>
    <xf numFmtId="164" fontId="31" fillId="0" borderId="11" xfId="3" applyFont="1" applyFill="1" applyBorder="1" applyAlignment="1">
      <alignment horizontal="center" vertical="center"/>
    </xf>
    <xf numFmtId="17" fontId="2" fillId="3" borderId="0" xfId="1" quotePrefix="1" applyNumberFormat="1" applyFont="1" applyFill="1" applyAlignment="1">
      <alignment horizontal="center" vertical="center"/>
    </xf>
    <xf numFmtId="17" fontId="2" fillId="0" borderId="0" xfId="1" quotePrefix="1" applyNumberFormat="1" applyFont="1" applyFill="1" applyBorder="1" applyAlignment="1">
      <alignment horizontal="center" vertical="center"/>
    </xf>
    <xf numFmtId="17" fontId="2" fillId="0" borderId="0" xfId="1" applyNumberFormat="1" applyFont="1" applyFill="1" applyBorder="1" applyAlignment="1">
      <alignment horizontal="center" vertical="center"/>
    </xf>
    <xf numFmtId="0" fontId="12" fillId="0" borderId="0" xfId="6" applyFont="1" applyFill="1" applyAlignment="1">
      <alignment horizontal="center"/>
    </xf>
    <xf numFmtId="0" fontId="3" fillId="0" borderId="1" xfId="6" applyFont="1" applyFill="1" applyBorder="1" applyAlignment="1">
      <alignment horizontal="center" vertical="center"/>
    </xf>
    <xf numFmtId="164" fontId="3" fillId="0" borderId="1" xfId="7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/>
    </xf>
    <xf numFmtId="0" fontId="12" fillId="0" borderId="2" xfId="6" applyFont="1" applyFill="1" applyBorder="1" applyAlignment="1">
      <alignment horizontal="center" vertical="center" wrapText="1"/>
    </xf>
    <xf numFmtId="0" fontId="12" fillId="0" borderId="3" xfId="6" applyFont="1" applyFill="1" applyBorder="1" applyAlignment="1">
      <alignment horizontal="center" vertical="center" wrapText="1"/>
    </xf>
    <xf numFmtId="0" fontId="12" fillId="0" borderId="7" xfId="6" applyFont="1" applyFill="1" applyBorder="1" applyAlignment="1">
      <alignment horizontal="center" vertical="center" wrapText="1"/>
    </xf>
    <xf numFmtId="0" fontId="12" fillId="0" borderId="8" xfId="6" applyFont="1" applyFill="1" applyBorder="1" applyAlignment="1">
      <alignment horizontal="center" vertical="center" wrapText="1"/>
    </xf>
    <xf numFmtId="0" fontId="12" fillId="0" borderId="9" xfId="6" applyFont="1" applyFill="1" applyBorder="1" applyAlignment="1">
      <alignment horizontal="center" vertical="center" wrapText="1"/>
    </xf>
    <xf numFmtId="0" fontId="12" fillId="0" borderId="10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/>
    </xf>
    <xf numFmtId="0" fontId="3" fillId="0" borderId="5" xfId="6" applyFont="1" applyFill="1" applyBorder="1" applyAlignment="1">
      <alignment horizontal="center"/>
    </xf>
    <xf numFmtId="0" fontId="3" fillId="0" borderId="6" xfId="6" applyFont="1" applyFill="1" applyBorder="1" applyAlignment="1">
      <alignment horizontal="center"/>
    </xf>
    <xf numFmtId="0" fontId="16" fillId="0" borderId="0" xfId="6" applyFont="1" applyFill="1" applyAlignment="1">
      <alignment horizontal="center"/>
    </xf>
    <xf numFmtId="164" fontId="32" fillId="0" borderId="0" xfId="3" applyFont="1" applyFill="1" applyBorder="1" applyAlignment="1">
      <alignment horizontal="center" vertical="center"/>
    </xf>
    <xf numFmtId="0" fontId="32" fillId="0" borderId="1" xfId="2" applyFont="1" applyFill="1" applyBorder="1" applyAlignment="1">
      <alignment horizontal="center" vertical="center" wrapText="1"/>
    </xf>
    <xf numFmtId="0" fontId="31" fillId="0" borderId="1" xfId="2" applyFont="1" applyFill="1" applyBorder="1" applyAlignment="1">
      <alignment horizontal="left" vertical="center" wrapText="1"/>
    </xf>
    <xf numFmtId="164" fontId="31" fillId="0" borderId="0" xfId="3" applyFont="1" applyFill="1" applyBorder="1" applyAlignment="1">
      <alignment horizontal="center" vertical="center"/>
    </xf>
    <xf numFmtId="164" fontId="3" fillId="0" borderId="0" xfId="5" applyFont="1" applyFill="1" applyBorder="1" applyAlignment="1">
      <alignment horizontal="center"/>
    </xf>
    <xf numFmtId="164" fontId="27" fillId="0" borderId="11" xfId="5" applyFont="1" applyFill="1" applyBorder="1" applyAlignment="1">
      <alignment horizontal="center"/>
    </xf>
    <xf numFmtId="164" fontId="26" fillId="0" borderId="0" xfId="5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3" fillId="0" borderId="1" xfId="5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164" fontId="5" fillId="0" borderId="0" xfId="5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164" fontId="5" fillId="0" borderId="1" xfId="5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</cellXfs>
  <cellStyles count="12">
    <cellStyle name="Comma" xfId="1" builtinId="3"/>
    <cellStyle name="Comma 10 2 3 2" xfId="8"/>
    <cellStyle name="Comma 19" xfId="5"/>
    <cellStyle name="Comma 20" xfId="3"/>
    <cellStyle name="Comma 4 2 2" xfId="7"/>
    <cellStyle name="Comma 5 2 2" xfId="9"/>
    <cellStyle name="Normal" xfId="0" builtinId="0"/>
    <cellStyle name="Normal 10" xfId="11"/>
    <cellStyle name="Normal 11_1. FUND 101 Financial Reports 2011" xfId="4"/>
    <cellStyle name="Normal 17 4 4 2 2 2 2" xfId="10"/>
    <cellStyle name="Normal 21" xfId="2"/>
    <cellStyle name="Normal 5 3 2 2" xfId="6"/>
  </cellStyles>
  <dxfs count="29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35" formatCode="_-* #,##0.00_-;\-* #,##0.00_-;_-* &quot;-&quot;??_-;_-@_-"/>
    </dxf>
    <dxf>
      <numFmt numFmtId="35" formatCode="_-* #,##0.00_-;\-* #,##0.00_-;_-* &quot;-&quot;??_-;_-@_-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numFmt numFmtId="35" formatCode="_-* #,##0.00_-;\-* #,##0.00_-;_-* &quot;-&quot;??_-;_-@_-"/>
    </dxf>
    <dxf>
      <numFmt numFmtId="35" formatCode="_-* #,##0.00_-;\-* #,##0.00_-;_-* &quot;-&quot;??_-;_-@_-"/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numFmt numFmtId="35" formatCode="_-* #,##0.00_-;\-* #,##0.00_-;_-* &quot;-&quot;??_-;_-@_-"/>
    </dxf>
    <dxf>
      <numFmt numFmtId="35" formatCode="_-* #,##0.00_-;\-* #,##0.00_-;_-* &quot;-&quot;??_-;_-@_-"/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numFmt numFmtId="35" formatCode="_-* #,##0.00_-;\-* #,##0.00_-;_-* &quot;-&quot;??_-;_-@_-"/>
    </dxf>
    <dxf>
      <numFmt numFmtId="35" formatCode="_-* #,##0.00_-;\-* #,##0.00_-;_-* &quot;-&quot;??_-;_-@_-"/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theme="8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numFmt numFmtId="35" formatCode="_-* #,##0.00_-;\-* #,##0.00_-;_-* &quot;-&quot;??_-;_-@_-"/>
    </dxf>
    <dxf>
      <numFmt numFmtId="35" formatCode="_-* #,##0.00_-;\-* #,##0.00_-;_-* &quot;-&quot;??_-;_-@_-"/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numFmt numFmtId="35" formatCode="_-* #,##0.00_-;\-* #,##0.00_-;_-* &quot;-&quot;??_-;_-@_-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numFmt numFmtId="35" formatCode="_-* #,##0.00_-;\-* #,##0.00_-;_-* &quot;-&quot;??_-;_-@_-"/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numFmt numFmtId="35" formatCode="_-* #,##0.00_-;\-* #,##0.00_-;_-* &quot;-&quot;??_-;_-@_-"/>
    </dxf>
    <dxf>
      <numFmt numFmtId="35" formatCode="_-* #,##0.00_-;\-* #,##0.00_-;_-* &quot;-&quot;??_-;_-@_-"/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numFmt numFmtId="35" formatCode="_-* #,##0.00_-;\-* #,##0.00_-;_-* &quot;-&quot;??_-;_-@_-"/>
    </dxf>
    <dxf>
      <numFmt numFmtId="35" formatCode="_-* #,##0.00_-;\-* #,##0.00_-;_-* &quot;-&quot;??_-;_-@_-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numFmt numFmtId="35" formatCode="_-* #,##0.00_-;\-* #,##0.00_-;_-* &quot;-&quot;??_-;_-@_-"/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numFmt numFmtId="35" formatCode="_-* #,##0.00_-;\-* #,##0.00_-;_-* &quot;-&quot;??_-;_-@_-"/>
    </dxf>
    <dxf>
      <numFmt numFmtId="35" formatCode="_-* #,##0.00_-;\-* #,##0.00_-;_-* &quot;-&quot;??_-;_-@_-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6.xml"/><Relationship Id="rId21" Type="http://schemas.openxmlformats.org/officeDocument/2006/relationships/externalLink" Target="externalLinks/externalLink11.xml"/><Relationship Id="rId34" Type="http://schemas.openxmlformats.org/officeDocument/2006/relationships/externalLink" Target="externalLinks/externalLink24.xml"/><Relationship Id="rId42" Type="http://schemas.openxmlformats.org/officeDocument/2006/relationships/externalLink" Target="externalLinks/externalLink32.xml"/><Relationship Id="rId47" Type="http://schemas.openxmlformats.org/officeDocument/2006/relationships/externalLink" Target="externalLinks/externalLink37.xml"/><Relationship Id="rId50" Type="http://schemas.openxmlformats.org/officeDocument/2006/relationships/pivotCacheDefinition" Target="pivotCache/pivotCacheDefinition3.xml"/><Relationship Id="rId55" Type="http://schemas.openxmlformats.org/officeDocument/2006/relationships/pivotCacheDefinition" Target="pivotCache/pivotCacheDefinition8.xml"/><Relationship Id="rId63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9" Type="http://schemas.openxmlformats.org/officeDocument/2006/relationships/externalLink" Target="externalLinks/externalLink19.xml"/><Relationship Id="rId11" Type="http://schemas.openxmlformats.org/officeDocument/2006/relationships/externalLink" Target="externalLinks/externalLink1.xml"/><Relationship Id="rId24" Type="http://schemas.openxmlformats.org/officeDocument/2006/relationships/externalLink" Target="externalLinks/externalLink14.xml"/><Relationship Id="rId32" Type="http://schemas.openxmlformats.org/officeDocument/2006/relationships/externalLink" Target="externalLinks/externalLink22.xml"/><Relationship Id="rId37" Type="http://schemas.openxmlformats.org/officeDocument/2006/relationships/externalLink" Target="externalLinks/externalLink27.xml"/><Relationship Id="rId40" Type="http://schemas.openxmlformats.org/officeDocument/2006/relationships/externalLink" Target="externalLinks/externalLink30.xml"/><Relationship Id="rId45" Type="http://schemas.openxmlformats.org/officeDocument/2006/relationships/externalLink" Target="externalLinks/externalLink35.xml"/><Relationship Id="rId53" Type="http://schemas.openxmlformats.org/officeDocument/2006/relationships/pivotCacheDefinition" Target="pivotCache/pivotCacheDefinition6.xml"/><Relationship Id="rId58" Type="http://schemas.openxmlformats.org/officeDocument/2006/relationships/pivotCacheDefinition" Target="pivotCache/pivotCacheDefinition11.xml"/><Relationship Id="rId66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pivotCacheDefinition" Target="pivotCache/pivotCacheDefinition14.xml"/><Relationship Id="rId19" Type="http://schemas.openxmlformats.org/officeDocument/2006/relationships/externalLink" Target="externalLinks/externalLink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33.xml"/><Relationship Id="rId48" Type="http://schemas.openxmlformats.org/officeDocument/2006/relationships/pivotCacheDefinition" Target="pivotCache/pivotCacheDefinition1.xml"/><Relationship Id="rId56" Type="http://schemas.openxmlformats.org/officeDocument/2006/relationships/pivotCacheDefinition" Target="pivotCache/pivotCacheDefinition9.xml"/><Relationship Id="rId64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pivotCacheDefinition" Target="pivotCache/pivotCacheDefinition4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externalLink" Target="externalLinks/externalLink28.xml"/><Relationship Id="rId46" Type="http://schemas.openxmlformats.org/officeDocument/2006/relationships/externalLink" Target="externalLinks/externalLink36.xml"/><Relationship Id="rId59" Type="http://schemas.openxmlformats.org/officeDocument/2006/relationships/pivotCacheDefinition" Target="pivotCache/pivotCacheDefinition12.xml"/><Relationship Id="rId20" Type="http://schemas.openxmlformats.org/officeDocument/2006/relationships/externalLink" Target="externalLinks/externalLink10.xml"/><Relationship Id="rId41" Type="http://schemas.openxmlformats.org/officeDocument/2006/relationships/externalLink" Target="externalLinks/externalLink31.xml"/><Relationship Id="rId54" Type="http://schemas.openxmlformats.org/officeDocument/2006/relationships/pivotCacheDefinition" Target="pivotCache/pivotCacheDefinition7.xml"/><Relationship Id="rId62" Type="http://schemas.openxmlformats.org/officeDocument/2006/relationships/pivotCacheDefinition" Target="pivotCache/pivotCacheDefinition1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externalLink" Target="externalLinks/externalLink26.xml"/><Relationship Id="rId49" Type="http://schemas.openxmlformats.org/officeDocument/2006/relationships/pivotCacheDefinition" Target="pivotCache/pivotCacheDefinition2.xml"/><Relationship Id="rId57" Type="http://schemas.openxmlformats.org/officeDocument/2006/relationships/pivotCacheDefinition" Target="pivotCache/pivotCacheDefinition10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21.xml"/><Relationship Id="rId44" Type="http://schemas.openxmlformats.org/officeDocument/2006/relationships/externalLink" Target="externalLinks/externalLink34.xml"/><Relationship Id="rId52" Type="http://schemas.openxmlformats.org/officeDocument/2006/relationships/pivotCacheDefinition" Target="pivotCache/pivotCacheDefinition5.xml"/><Relationship Id="rId60" Type="http://schemas.openxmlformats.org/officeDocument/2006/relationships/pivotCacheDefinition" Target="pivotCache/pivotCacheDefinition13.xml"/><Relationship Id="rId6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9" Type="http://schemas.openxmlformats.org/officeDocument/2006/relationships/externalLink" Target="externalLinks/externalLink2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.10-MITHI-L076\Desktop\NB%20FA%20II%20FILES\KC%20NCDDP\FA%20III%20SOE\CURRENT%20FOR%20FAR%201C%20FO-X%20RFR%20Tracker%20-%20KCNCDDP%20Extension%20BY%202020%20(1)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JEV%202023/1%20January%202023/JEV%20-%20January%202023%20-FC1,FC4,FC6%20&amp;%20FC7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JVL/4%20APRIL%202023/JEV/JEV%20nos.%202023-04-1717to1733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JVL/4%20APRIL%202023/JEV/JEV%20nos.%202023-04-1734to1760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KYRA/4%20APRIL%202023/4.%20APRIL%202023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JEV%202023/3March%202023/JEV%20-%20March%202023%20-FC1,FC4,FC6%20&amp;%20FC7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JEV%202023/2February%202023/JEV%20-%20Febuary%202023%20-FC1,FC4,FC6%20&amp;%20FC7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4%20APRIL%202023/4.1%20APRIL%202023%20WORKING%20TB%20FC%201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JEV%202023/10%20OCTOBER%202023/JEV%20-%20OCTOBER%202023%20-FC1,FC3,FC4,FC6%20&amp;%20FC7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INANCIAL%20STATEMENTS%202023/12%20DECEMBER%202023%20FS/CONSOLIDATED%20FS%202023/12.2%20DECEMBER%202023%20CONSOLIDATED%20COMPARATIVE%20TB%20&amp;%20FS%202023%20with%20RESTATED%20FS%202022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WTB%20AND%20JEV%202024/WTB%202024/2%20FEBRUARY%20WTB%202024/2%20FEBRUARY%202024%20WORKING%20TB%20FC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SWD\Desktop\MARS2020\FC-2%20Dec.%202019\Chk%20Dj%204th%20Qtr\Check%20DJ%20DEC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FINANCIAL%20STATEMENTS%202024/RESTATEMENT%20OF%202023%20FINANCIAL%20STATEMENTS/FOR%20POST%20TB%20ONLY/3%20MARCH%202024%20WORKING%20TB%20FC%201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WTB%20AND%20JEV%202024/JEV%202024/3%20JEV%20-%20MARCH%202024%20-FC1,FC3,%20&amp;%20FC7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CHECK%20ADA%20DJ%202024/FC%201%20-%20CHECK%20ADA%20DJ/6%20JUNE%202024%20CHECK%20ADA%20DJ%20FC%201%20MDS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LIQUIDATIION%20-%20INVENTORIES%20(KYRA%20REPORTS)%202024/2%20FEBRUARY%202024/2.%20February%202024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LIQUIDATION%20-%20SEMI%20EXPENDABLES%20(GENNY%20REPORTS)%202024/2%20FEBRUARY%202024/JEV%20February%202024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LIQUIDATION%20-%20WELFARE%20GOODS%20(OMAE%20REPORTS)%202024/2%20FEBRUARY%202024/02.%20FEBRUARY%202024%20-%20WG%20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LIQUIDATION-SF%20&amp;%20BANGUN%20(EVELYN%20REPORTS)%202024/2%20FEBRUARY%202024/JEV-2023-SFP-12th%20Cycle%20-February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LIQUIDATION-SF%20&amp;%20BANGUN%20(EVELYN%20REPORTS)%202024/2%20FEBRUARY%202024/JEV-2023-SFP-13th%20Cycle-February%202024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gminoza\Desktop\FS2022\Final\12.2%20DECEMBER%202022%20Fund%20Cluster%202%20TB%20&amp;%20Comparative%20Restated%20FS%202021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CONSOLIDATED%20FS%202024/12.0%20DECEMBER%202024%20CONSOLIDATED%20COMPARATIVE%20TB%20&amp;%20FS%202024%20with%20RESTATED%20FS%20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gminoza\Downloads\MARS2020\FC-2%20Dec.%202019\Chk%20Dj%204th%20Qtr\Check%20DJ%20DEC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C%202/12G%20FO%20X%20102%20WB-AF,%20GOP-AF,%20GOP-PMNP,%20WB-PMNP%20&amp;%20BFIRST%20Consolidated%20FS_December%2031,%202024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TRIAL%20BALANCE/12.1DECEMBER%202024%20Fund%20Cluster%201%20TB%20&amp;%20FS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TRIAL%20BALANCE/12.3%20DECEMBER%202024%20Fund%20Cluster%203%20TB%20&amp;%20FS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LANI/FS.12.DEC%202020/Trial%20Balance/TB%20and%20FS/12.4%20DEC%202020%20Fund%20Cluster%204%20TB%20and%20Comparative%20FS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TRIAL%20BALANCE/12.7%20DECEMBER%202024%20Fund%20Cluster%207%20TB%20&amp;%20FS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INANCIAL%20STATEMENTS%202023/12%20DECEMBER%202023%20FS/TB%20&amp;%20FS%202023/12.4%20DECEMBER%202023%20Fund%20Cluster%204%20COMPARATIVE%20TB%20&amp;%20FS%202023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INANCIAL%20STATEMENTS%202023/12%20DECEMBER%202023%20FS/TB%20&amp;%20FS%202023/12.6%20DECEMBER%202023%20Fund%20Cluster%206%20COMPARATIVE%20TB%20&amp;%20FS%202023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3March%202023/3.7%20March%202023%20Working%20TB%20FC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Sheila/1January%202023/1.%20JANUARY%2031,%202023-GOP.xlsb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Sheila/2February%202023/2.%20FEBRUARY%2028,%202023.xlsb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Sheila/3March%202023/3.%20MARCH%2031,%202023.xlsb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C%201%20-%20CkDJ%20Regular/1January%202023/1JANUARY%202023%20CHECK%20DJ-F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C%201%20-%20CkDJ%20Regular/2February%202023/2FEBRUARY%202023%20CHECK%20DJ%20rev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C%201%20-%20CkDJ%20Regular/3March%202023/MARCH%202023%20CHECK%20D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EW REPORT CHECKLIST"/>
      <sheetName val="BY 2020"/>
      <sheetName val="SPI Masterlist as of September "/>
      <sheetName val="Location Summary"/>
      <sheetName val="Reference"/>
      <sheetName val="Sheet2"/>
      <sheetName val="MGA"/>
      <sheetName val="Sheet33"/>
      <sheetName val="RFR WITH DVS CODE"/>
      <sheetName val="Sheet7"/>
      <sheetName val="Sheet10"/>
      <sheetName val="Sheet13"/>
      <sheetName val="Sheet14"/>
      <sheetName val="Sheet15"/>
      <sheetName val="DBASE.DISB GOP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A2" t="str">
            <v>ADB</v>
          </cell>
          <cell r="B2">
            <v>177</v>
          </cell>
          <cell r="C2" t="str">
            <v>Bukidnon</v>
          </cell>
          <cell r="D2" t="str">
            <v>Malitbog</v>
          </cell>
          <cell r="E2" t="str">
            <v>Y</v>
          </cell>
          <cell r="F2" t="str">
            <v>1st</v>
          </cell>
          <cell r="G2">
            <v>1</v>
          </cell>
          <cell r="H2">
            <v>2014</v>
          </cell>
          <cell r="I2" t="str">
            <v>Disbursed</v>
          </cell>
          <cell r="J2" t="str">
            <v>ACT</v>
          </cell>
        </row>
        <row r="3">
          <cell r="A3" t="str">
            <v>WB</v>
          </cell>
          <cell r="B3">
            <v>293</v>
          </cell>
          <cell r="C3" t="str">
            <v>Camiguin</v>
          </cell>
          <cell r="D3" t="str">
            <v>Catarman</v>
          </cell>
          <cell r="E3" t="str">
            <v>N</v>
          </cell>
          <cell r="F3" t="str">
            <v>2nd</v>
          </cell>
          <cell r="G3">
            <v>2</v>
          </cell>
          <cell r="H3">
            <v>2015</v>
          </cell>
          <cell r="I3" t="str">
            <v>RFR waiting for compliance-ACT</v>
          </cell>
          <cell r="J3" t="str">
            <v>CDO III</v>
          </cell>
        </row>
        <row r="4">
          <cell r="B4">
            <v>377</v>
          </cell>
          <cell r="C4" t="str">
            <v>Lanao del Norte</v>
          </cell>
          <cell r="D4" t="str">
            <v>Guinsiliban</v>
          </cell>
          <cell r="F4" t="str">
            <v>Final</v>
          </cell>
          <cell r="G4">
            <v>3</v>
          </cell>
          <cell r="H4">
            <v>2016</v>
          </cell>
          <cell r="I4" t="str">
            <v>RFR waiting for compliance-SRPMO</v>
          </cell>
          <cell r="J4" t="str">
            <v>CIO III</v>
          </cell>
        </row>
        <row r="5">
          <cell r="C5" t="str">
            <v>Misamis Occidental</v>
          </cell>
          <cell r="D5" t="str">
            <v>Mahinog</v>
          </cell>
          <cell r="F5" t="str">
            <v>TAF</v>
          </cell>
          <cell r="G5">
            <v>4</v>
          </cell>
          <cell r="H5">
            <v>2017</v>
          </cell>
          <cell r="I5" t="str">
            <v>RFR waiting for compliance-RPMO</v>
          </cell>
          <cell r="J5" t="str">
            <v>CPO III</v>
          </cell>
        </row>
        <row r="6">
          <cell r="C6" t="str">
            <v>Misamis Oriental</v>
          </cell>
          <cell r="D6" t="str">
            <v>Mambajao</v>
          </cell>
          <cell r="H6">
            <v>2018</v>
          </cell>
          <cell r="I6" t="str">
            <v>RFR waiting for Liquidation Certificate</v>
          </cell>
          <cell r="J6" t="str">
            <v>FA II</v>
          </cell>
        </row>
        <row r="7">
          <cell r="D7" t="str">
            <v>Sagay</v>
          </cell>
          <cell r="H7">
            <v>2019</v>
          </cell>
          <cell r="I7" t="str">
            <v>RFR for DV,OBRs &amp; RPC Signature</v>
          </cell>
          <cell r="J7" t="str">
            <v>FA III</v>
          </cell>
        </row>
        <row r="8">
          <cell r="D8" t="str">
            <v>Kapatagan</v>
          </cell>
          <cell r="I8" t="str">
            <v>No RFR</v>
          </cell>
          <cell r="J8" t="str">
            <v>RCDS</v>
          </cell>
        </row>
        <row r="9">
          <cell r="D9" t="str">
            <v>Kauswagan</v>
          </cell>
          <cell r="I9" t="str">
            <v>RFR Ready for Download but Waiting for Cash from CO</v>
          </cell>
          <cell r="J9" t="str">
            <v>RCIS</v>
          </cell>
        </row>
        <row r="10">
          <cell r="D10" t="str">
            <v>Kolambugan</v>
          </cell>
          <cell r="I10" t="str">
            <v>RFR Subject to NOL(RPMO)</v>
          </cell>
          <cell r="J10" t="str">
            <v>RFA</v>
          </cell>
        </row>
        <row r="11">
          <cell r="D11" t="str">
            <v>Lala</v>
          </cell>
          <cell r="I11" t="str">
            <v>RFR Subject to NOL(NPMO)</v>
          </cell>
          <cell r="J11" t="str">
            <v>RIA</v>
          </cell>
        </row>
        <row r="12">
          <cell r="D12" t="str">
            <v>Magsaysay</v>
          </cell>
          <cell r="I12" t="str">
            <v>MPA/SPA for RPC/RD/ARDO signature</v>
          </cell>
          <cell r="J12" t="str">
            <v>RPC</v>
          </cell>
        </row>
        <row r="13">
          <cell r="D13" t="str">
            <v>Matungao</v>
          </cell>
          <cell r="I13" t="str">
            <v>ERFR slip for RPC/RD/ARDO signature</v>
          </cell>
          <cell r="J13" t="str">
            <v>RPD</v>
          </cell>
        </row>
        <row r="14">
          <cell r="D14" t="str">
            <v>Poona Piagapo</v>
          </cell>
          <cell r="I14" t="str">
            <v>RFR/DV for RD/ARDO signature</v>
          </cell>
          <cell r="J14" t="str">
            <v>SRPC</v>
          </cell>
        </row>
        <row r="15">
          <cell r="D15" t="str">
            <v>Tagoloan</v>
          </cell>
          <cell r="I15" t="str">
            <v>For ADA signature</v>
          </cell>
          <cell r="J15" t="str">
            <v>Accounting</v>
          </cell>
        </row>
        <row r="16">
          <cell r="D16" t="str">
            <v>Tangcal</v>
          </cell>
          <cell r="I16" t="str">
            <v>ADA FORWARDED TO LBP FOR DOWNLOAD</v>
          </cell>
          <cell r="J16" t="str">
            <v>Budget</v>
          </cell>
        </row>
        <row r="17">
          <cell r="D17" t="str">
            <v>Bonifacio</v>
          </cell>
          <cell r="I17" t="str">
            <v>For AO V Signature</v>
          </cell>
          <cell r="J17" t="str">
            <v>Cash</v>
          </cell>
        </row>
        <row r="18">
          <cell r="D18" t="str">
            <v>Calamba</v>
          </cell>
          <cell r="I18" t="str">
            <v>RFR For FA-3 Accounting review</v>
          </cell>
          <cell r="J18" t="str">
            <v>RPMO</v>
          </cell>
        </row>
        <row r="19">
          <cell r="D19" t="str">
            <v>Panaon</v>
          </cell>
          <cell r="I19" t="str">
            <v>RFR for Review</v>
          </cell>
          <cell r="J19" t="str">
            <v>SRPMO</v>
          </cell>
        </row>
        <row r="20">
          <cell r="D20" t="str">
            <v>Sinacaban</v>
          </cell>
          <cell r="I20" t="str">
            <v>RFR waiting for Liquidation Certificate</v>
          </cell>
          <cell r="J20" t="str">
            <v>ARDO</v>
          </cell>
        </row>
        <row r="21">
          <cell r="D21" t="str">
            <v>Baungon</v>
          </cell>
          <cell r="J21" t="str">
            <v>NPMO</v>
          </cell>
        </row>
        <row r="22">
          <cell r="D22" t="str">
            <v>Cabanglasan</v>
          </cell>
          <cell r="I22">
            <v>0</v>
          </cell>
          <cell r="J22">
            <v>0</v>
          </cell>
        </row>
        <row r="23">
          <cell r="D23" t="str">
            <v>Damulog</v>
          </cell>
          <cell r="I23">
            <v>0</v>
          </cell>
        </row>
        <row r="24">
          <cell r="D24" t="str">
            <v>Don Carlos</v>
          </cell>
          <cell r="I24">
            <v>0</v>
          </cell>
        </row>
        <row r="25">
          <cell r="D25" t="str">
            <v>Impasug-Ong</v>
          </cell>
          <cell r="I25">
            <v>0</v>
          </cell>
        </row>
        <row r="26">
          <cell r="D26" t="str">
            <v>Kadingilan</v>
          </cell>
          <cell r="I26">
            <v>0</v>
          </cell>
        </row>
        <row r="27">
          <cell r="D27" t="str">
            <v>Kalilangan</v>
          </cell>
          <cell r="I27">
            <v>0</v>
          </cell>
        </row>
        <row r="28">
          <cell r="D28" t="str">
            <v>Kibawe</v>
          </cell>
          <cell r="I28">
            <v>0</v>
          </cell>
        </row>
        <row r="29">
          <cell r="D29" t="str">
            <v>Kitaotao</v>
          </cell>
          <cell r="I29">
            <v>0</v>
          </cell>
        </row>
        <row r="30">
          <cell r="D30" t="str">
            <v>Pangantucan</v>
          </cell>
          <cell r="I30">
            <v>0</v>
          </cell>
        </row>
        <row r="31">
          <cell r="D31" t="str">
            <v>Quezon</v>
          </cell>
          <cell r="I31">
            <v>0</v>
          </cell>
        </row>
        <row r="32">
          <cell r="D32" t="str">
            <v>San Fernando</v>
          </cell>
          <cell r="I32">
            <v>0</v>
          </cell>
        </row>
        <row r="33">
          <cell r="D33" t="str">
            <v>Sumilao</v>
          </cell>
          <cell r="I33">
            <v>0</v>
          </cell>
        </row>
        <row r="34">
          <cell r="D34" t="str">
            <v>Talakag</v>
          </cell>
          <cell r="I34">
            <v>0</v>
          </cell>
        </row>
        <row r="35">
          <cell r="D35" t="str">
            <v>Bacolod</v>
          </cell>
          <cell r="I35">
            <v>0</v>
          </cell>
        </row>
        <row r="36">
          <cell r="D36" t="str">
            <v>Baloi</v>
          </cell>
          <cell r="I36">
            <v>0</v>
          </cell>
        </row>
        <row r="37">
          <cell r="D37" t="str">
            <v>Baroy</v>
          </cell>
          <cell r="I37">
            <v>0</v>
          </cell>
        </row>
        <row r="38">
          <cell r="D38" t="str">
            <v>Linamon</v>
          </cell>
          <cell r="I38">
            <v>0</v>
          </cell>
        </row>
        <row r="39">
          <cell r="D39" t="str">
            <v>Maigo</v>
          </cell>
          <cell r="I39">
            <v>0</v>
          </cell>
        </row>
        <row r="40">
          <cell r="D40" t="str">
            <v>Nunungan</v>
          </cell>
          <cell r="I40">
            <v>0</v>
          </cell>
        </row>
        <row r="41">
          <cell r="D41" t="str">
            <v>Pantar</v>
          </cell>
          <cell r="I41">
            <v>0</v>
          </cell>
        </row>
        <row r="42">
          <cell r="D42" t="str">
            <v>Salvador</v>
          </cell>
          <cell r="I42">
            <v>0</v>
          </cell>
        </row>
        <row r="43">
          <cell r="D43" t="str">
            <v>Sapad</v>
          </cell>
          <cell r="I43">
            <v>0</v>
          </cell>
        </row>
        <row r="44">
          <cell r="D44" t="str">
            <v>Sultan Naga Dimaporo (Karomatan)</v>
          </cell>
          <cell r="I44">
            <v>0</v>
          </cell>
        </row>
        <row r="45">
          <cell r="D45" t="str">
            <v>Tubod (Capital)</v>
          </cell>
          <cell r="I45">
            <v>0</v>
          </cell>
        </row>
        <row r="46">
          <cell r="D46" t="str">
            <v>Aloran</v>
          </cell>
          <cell r="I46">
            <v>0</v>
          </cell>
        </row>
        <row r="47">
          <cell r="D47" t="str">
            <v>Baliangao</v>
          </cell>
          <cell r="I47">
            <v>0</v>
          </cell>
        </row>
        <row r="48">
          <cell r="D48" t="str">
            <v>Clarin</v>
          </cell>
          <cell r="I48">
            <v>0</v>
          </cell>
        </row>
        <row r="49">
          <cell r="D49" t="str">
            <v>Concepcion</v>
          </cell>
          <cell r="I49">
            <v>0</v>
          </cell>
        </row>
        <row r="50">
          <cell r="D50" t="str">
            <v>Don Victoriano Chiongbian (Don Mariano Marcos)</v>
          </cell>
          <cell r="I50">
            <v>0</v>
          </cell>
        </row>
        <row r="51">
          <cell r="D51" t="str">
            <v>Lopez Jaena</v>
          </cell>
          <cell r="I51">
            <v>0</v>
          </cell>
        </row>
        <row r="52">
          <cell r="D52" t="str">
            <v>Sapang Dalaga</v>
          </cell>
          <cell r="I52">
            <v>0</v>
          </cell>
        </row>
        <row r="53">
          <cell r="D53" t="str">
            <v>Tudela</v>
          </cell>
          <cell r="I53">
            <v>0</v>
          </cell>
        </row>
        <row r="54">
          <cell r="D54" t="str">
            <v>Alubijid</v>
          </cell>
          <cell r="I54">
            <v>0</v>
          </cell>
        </row>
        <row r="55">
          <cell r="D55" t="str">
            <v>Balingasag</v>
          </cell>
          <cell r="I55">
            <v>0</v>
          </cell>
        </row>
        <row r="56">
          <cell r="D56" t="str">
            <v>Balingoan</v>
          </cell>
          <cell r="I56">
            <v>0</v>
          </cell>
        </row>
        <row r="57">
          <cell r="D57" t="str">
            <v>Binuangan</v>
          </cell>
          <cell r="I57">
            <v>0</v>
          </cell>
        </row>
        <row r="58">
          <cell r="D58" t="str">
            <v>Claveria</v>
          </cell>
          <cell r="I58">
            <v>0</v>
          </cell>
        </row>
        <row r="59">
          <cell r="D59" t="str">
            <v>Gitagum</v>
          </cell>
          <cell r="I59">
            <v>0</v>
          </cell>
        </row>
        <row r="60">
          <cell r="D60" t="str">
            <v>Initao</v>
          </cell>
          <cell r="I60">
            <v>0</v>
          </cell>
        </row>
        <row r="61">
          <cell r="D61" t="str">
            <v>Jasaan</v>
          </cell>
          <cell r="I61">
            <v>0</v>
          </cell>
        </row>
        <row r="62">
          <cell r="D62" t="str">
            <v>Kinoguitan</v>
          </cell>
          <cell r="I62">
            <v>0</v>
          </cell>
        </row>
        <row r="63">
          <cell r="D63" t="str">
            <v>Lagonglong</v>
          </cell>
          <cell r="I63">
            <v>0</v>
          </cell>
        </row>
        <row r="64">
          <cell r="D64" t="str">
            <v>Laguindingan</v>
          </cell>
          <cell r="I64">
            <v>0</v>
          </cell>
        </row>
        <row r="65">
          <cell r="D65" t="str">
            <v>Libertad</v>
          </cell>
          <cell r="I65">
            <v>0</v>
          </cell>
        </row>
        <row r="66">
          <cell r="D66" t="str">
            <v>Magsaysay (Linugos)</v>
          </cell>
          <cell r="I66">
            <v>0</v>
          </cell>
        </row>
        <row r="67">
          <cell r="D67" t="str">
            <v>Manticao</v>
          </cell>
          <cell r="I67">
            <v>0</v>
          </cell>
        </row>
        <row r="68">
          <cell r="D68" t="str">
            <v>Medina</v>
          </cell>
          <cell r="I68">
            <v>0</v>
          </cell>
        </row>
        <row r="69">
          <cell r="D69" t="str">
            <v>Naawan</v>
          </cell>
          <cell r="I69">
            <v>0</v>
          </cell>
        </row>
        <row r="70">
          <cell r="D70" t="str">
            <v>Salay</v>
          </cell>
          <cell r="I70">
            <v>0</v>
          </cell>
        </row>
        <row r="71">
          <cell r="D71" t="str">
            <v>Sugbongcogon</v>
          </cell>
          <cell r="I71">
            <v>0</v>
          </cell>
        </row>
        <row r="72">
          <cell r="D72" t="str">
            <v>Pantao Ragat</v>
          </cell>
          <cell r="I72">
            <v>0</v>
          </cell>
        </row>
        <row r="73">
          <cell r="D73" t="str">
            <v>Talisayan</v>
          </cell>
          <cell r="I73">
            <v>0</v>
          </cell>
        </row>
        <row r="74">
          <cell r="I74">
            <v>0</v>
          </cell>
        </row>
        <row r="75">
          <cell r="I75">
            <v>0</v>
          </cell>
        </row>
        <row r="76">
          <cell r="I76">
            <v>0</v>
          </cell>
        </row>
        <row r="77">
          <cell r="I77">
            <v>0</v>
          </cell>
        </row>
        <row r="78">
          <cell r="I78">
            <v>0</v>
          </cell>
        </row>
        <row r="79">
          <cell r="I79">
            <v>0</v>
          </cell>
        </row>
        <row r="80">
          <cell r="I80">
            <v>0</v>
          </cell>
        </row>
        <row r="81">
          <cell r="I81">
            <v>0</v>
          </cell>
        </row>
        <row r="82">
          <cell r="I82">
            <v>0</v>
          </cell>
        </row>
        <row r="83">
          <cell r="I83">
            <v>0</v>
          </cell>
        </row>
        <row r="84">
          <cell r="I84">
            <v>0</v>
          </cell>
        </row>
        <row r="85">
          <cell r="I85">
            <v>0</v>
          </cell>
        </row>
        <row r="86">
          <cell r="I86">
            <v>0</v>
          </cell>
        </row>
        <row r="87">
          <cell r="I87">
            <v>0</v>
          </cell>
        </row>
        <row r="88">
          <cell r="I88">
            <v>0</v>
          </cell>
        </row>
        <row r="89">
          <cell r="I89">
            <v>0</v>
          </cell>
        </row>
        <row r="90">
          <cell r="I90">
            <v>0</v>
          </cell>
        </row>
        <row r="91">
          <cell r="I91">
            <v>0</v>
          </cell>
        </row>
        <row r="92">
          <cell r="I92">
            <v>0</v>
          </cell>
        </row>
        <row r="93">
          <cell r="I93">
            <v>0</v>
          </cell>
        </row>
        <row r="94">
          <cell r="I94">
            <v>0</v>
          </cell>
        </row>
        <row r="95">
          <cell r="I95">
            <v>0</v>
          </cell>
        </row>
        <row r="96">
          <cell r="I96">
            <v>0</v>
          </cell>
        </row>
        <row r="97">
          <cell r="I97">
            <v>0</v>
          </cell>
        </row>
        <row r="98">
          <cell r="I98">
            <v>0</v>
          </cell>
        </row>
        <row r="99">
          <cell r="I99">
            <v>0</v>
          </cell>
        </row>
        <row r="100">
          <cell r="I100">
            <v>0</v>
          </cell>
        </row>
        <row r="101">
          <cell r="I101">
            <v>0</v>
          </cell>
        </row>
        <row r="102">
          <cell r="I102">
            <v>0</v>
          </cell>
        </row>
        <row r="103">
          <cell r="I103">
            <v>0</v>
          </cell>
        </row>
        <row r="104">
          <cell r="I104">
            <v>0</v>
          </cell>
        </row>
        <row r="105">
          <cell r="I105">
            <v>0</v>
          </cell>
        </row>
        <row r="106">
          <cell r="I106">
            <v>0</v>
          </cell>
        </row>
        <row r="107">
          <cell r="I107">
            <v>0</v>
          </cell>
        </row>
        <row r="108">
          <cell r="I108">
            <v>0</v>
          </cell>
        </row>
        <row r="109">
          <cell r="I109">
            <v>0</v>
          </cell>
        </row>
        <row r="110">
          <cell r="I110">
            <v>0</v>
          </cell>
        </row>
        <row r="111">
          <cell r="I111">
            <v>0</v>
          </cell>
        </row>
        <row r="112">
          <cell r="I112">
            <v>0</v>
          </cell>
        </row>
        <row r="113">
          <cell r="I113">
            <v>0</v>
          </cell>
        </row>
        <row r="114">
          <cell r="I114">
            <v>0</v>
          </cell>
        </row>
        <row r="115">
          <cell r="I115">
            <v>0</v>
          </cell>
        </row>
        <row r="116">
          <cell r="I116">
            <v>0</v>
          </cell>
        </row>
        <row r="117">
          <cell r="I117">
            <v>0</v>
          </cell>
        </row>
        <row r="118">
          <cell r="I118">
            <v>0</v>
          </cell>
        </row>
        <row r="119">
          <cell r="I119">
            <v>0</v>
          </cell>
        </row>
        <row r="120">
          <cell r="I120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"/>
      <sheetName val="FC4 "/>
      <sheetName val="FC4 CONTROL"/>
      <sheetName val="FC6"/>
      <sheetName val="FC6 CONTROL"/>
      <sheetName val="FC7 TF Check DJ"/>
      <sheetName val="FC7 TF JEV"/>
      <sheetName val="FC7 TF.CONTROL"/>
      <sheetName val="FC7 TF CLOSING ENTRY"/>
      <sheetName val="CRJ FC7-VL"/>
      <sheetName val="CRJ FC7.Control"/>
      <sheetName val="SDO-NIKKI"/>
      <sheetName val="CDJ LGU (VL)"/>
      <sheetName val="LGU CONTROL"/>
      <sheetName val="CDJ-AOE (VL)"/>
      <sheetName val="JEV-GJ."/>
      <sheetName val="JEV-GJ.Control"/>
      <sheetName val="FC 1 CLOSING ENTRY"/>
      <sheetName val="Post Closing Entry"/>
      <sheetName val="details.906"/>
      <sheetName val="January"/>
      <sheetName val="CkDJ.Control"/>
      <sheetName val="CRJ FC1"/>
      <sheetName val="AP.2017"/>
      <sheetName val="CRJ FC 1 Control"/>
      <sheetName val="FC1 MONITORING"/>
      <sheetName val="FC4 MTR"/>
      <sheetName val="FC6 MTR"/>
      <sheetName val="FC7 MTR"/>
      <sheetName val="Kalahi Tax For Adj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1">
          <cell r="H11">
            <v>13018200</v>
          </cell>
        </row>
        <row r="573">
          <cell r="H573">
            <v>5000000</v>
          </cell>
        </row>
        <row r="636">
          <cell r="H636">
            <v>177388.37</v>
          </cell>
        </row>
        <row r="671">
          <cell r="H671">
            <v>9000</v>
          </cell>
        </row>
        <row r="712">
          <cell r="H712">
            <v>6.44</v>
          </cell>
        </row>
        <row r="713">
          <cell r="I713">
            <v>6.44</v>
          </cell>
        </row>
      </sheetData>
      <sheetData sheetId="12">
        <row r="12">
          <cell r="H12">
            <v>2402155.3300000005</v>
          </cell>
        </row>
      </sheetData>
      <sheetData sheetId="13"/>
      <sheetData sheetId="14"/>
      <sheetData sheetId="15">
        <row r="607">
          <cell r="H607">
            <v>198.82</v>
          </cell>
        </row>
        <row r="1840">
          <cell r="I1840">
            <v>83059.5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il"/>
    </sheetNames>
    <sheetDataSet>
      <sheetData sheetId="0">
        <row r="259">
          <cell r="G259">
            <v>14986824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il"/>
    </sheetNames>
    <sheetDataSet>
      <sheetData sheetId="0">
        <row r="463">
          <cell r="G463">
            <v>24764827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EV-GJ."/>
      <sheetName val="FC 1"/>
      <sheetName val="Subsidies (APRIL)"/>
      <sheetName val="Liquidations"/>
    </sheetNames>
    <sheetDataSet>
      <sheetData sheetId="0">
        <row r="11">
          <cell r="H11">
            <v>1679613.049787607</v>
          </cell>
        </row>
        <row r="115">
          <cell r="H115">
            <v>5083708.3591994308</v>
          </cell>
        </row>
      </sheetData>
      <sheetData sheetId="1"/>
      <sheetData sheetId="2"/>
      <sheetData sheetId="3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"/>
      <sheetName val="FC4 "/>
      <sheetName val="FC4 CONTROL"/>
      <sheetName val="FC6"/>
      <sheetName val="FC6 CONTROL"/>
      <sheetName val="FC7 TF Check DJ"/>
      <sheetName val="FC7 TF JEV"/>
      <sheetName val="FC7 TF.CONTROL"/>
      <sheetName val="FC7 TF CLOSING ENTRY"/>
      <sheetName val="CRJ FC7-VL"/>
      <sheetName val="CRJ FC7.Control"/>
      <sheetName val="SDO-NIKKI"/>
      <sheetName val="CDJ LGU (VL)"/>
      <sheetName val="LGU CONTROL"/>
      <sheetName val="CDJ-AOE (VL)"/>
      <sheetName val="JEV-GJ."/>
      <sheetName val="JEV-GJ.Control"/>
      <sheetName val="FC 1 CLOSING ENTRY"/>
      <sheetName val="Post Closing Entry"/>
      <sheetName val="details.906"/>
      <sheetName val="March"/>
      <sheetName val="CkDJ.Control"/>
      <sheetName val="CRJ FC1"/>
      <sheetName val="AP.2017"/>
      <sheetName val="CRJ FC 1 Control"/>
      <sheetName val="FC1 MONITORING"/>
      <sheetName val="FC4 MTR"/>
      <sheetName val="FC6 MTR"/>
      <sheetName val="FC7 MTR"/>
      <sheetName val="Kalahi Tax For Adj."/>
    </sheetNames>
    <sheetDataSet>
      <sheetData sheetId="0"/>
      <sheetData sheetId="1"/>
      <sheetData sheetId="2"/>
      <sheetData sheetId="3"/>
      <sheetData sheetId="4"/>
      <sheetData sheetId="5"/>
      <sheetData sheetId="6">
        <row r="145">
          <cell r="I145">
            <v>4200</v>
          </cell>
        </row>
        <row r="167">
          <cell r="H167">
            <v>900</v>
          </cell>
        </row>
      </sheetData>
      <sheetData sheetId="7"/>
      <sheetData sheetId="8"/>
      <sheetData sheetId="9"/>
      <sheetData sheetId="10"/>
      <sheetData sheetId="11">
        <row r="11">
          <cell r="H11">
            <v>245751150.47</v>
          </cell>
        </row>
        <row r="283">
          <cell r="H283">
            <v>50000</v>
          </cell>
        </row>
      </sheetData>
      <sheetData sheetId="12">
        <row r="12">
          <cell r="H12">
            <v>3905156.4299999997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32">
          <cell r="G132">
            <v>25694.05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"/>
      <sheetName val="FC4 "/>
      <sheetName val="FC4 CONTROL"/>
      <sheetName val="FC6"/>
      <sheetName val="FC6 CONTROL"/>
      <sheetName val="FC7 TF Check DJ"/>
      <sheetName val="FC7 TF JEV"/>
      <sheetName val="FC7 TF.CONTROL"/>
      <sheetName val="FC7 TF CLOSING ENTRY"/>
      <sheetName val="CRJ FC7-VL"/>
      <sheetName val="CRJ FC7.Control"/>
      <sheetName val="SDO-NIKKI"/>
      <sheetName val="CDJ LGU (VL)"/>
      <sheetName val="LGU CONTROL"/>
      <sheetName val="CDJ-AOE (VL)"/>
      <sheetName val="JEV-GJ."/>
      <sheetName val="JEV-GJ.Control"/>
      <sheetName val="FC 1 CLOSING ENTRY"/>
      <sheetName val="Post Closing Entry"/>
      <sheetName val="details.906"/>
      <sheetName val="February"/>
      <sheetName val="CkDJ.Control"/>
      <sheetName val="CRJ FC1"/>
      <sheetName val="AP.2017"/>
      <sheetName val="CRJ FC 1 Control"/>
      <sheetName val="FC1 MONITORING"/>
      <sheetName val="FC4 MTR"/>
      <sheetName val="FC6 MTR"/>
      <sheetName val="FC7 MTR"/>
      <sheetName val="Kalahi Tax For Adj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2">
          <cell r="H12">
            <v>28762700</v>
          </cell>
        </row>
        <row r="283">
          <cell r="H283">
            <v>75000</v>
          </cell>
        </row>
      </sheetData>
      <sheetData sheetId="12">
        <row r="12">
          <cell r="H12">
            <v>5229134.88</v>
          </cell>
        </row>
      </sheetData>
      <sheetData sheetId="13"/>
      <sheetData sheetId="14"/>
      <sheetData sheetId="15">
        <row r="4481">
          <cell r="I4481">
            <v>605907.75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22">
          <cell r="N122">
            <v>13608900</v>
          </cell>
          <cell r="P122">
            <v>7082693.3999999994</v>
          </cell>
          <cell r="Q122">
            <v>18000</v>
          </cell>
        </row>
      </sheetData>
      <sheetData sheetId="2"/>
      <sheetData sheetId="3"/>
      <sheetData sheetId="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"/>
      <sheetName val="FC  3 JEV CHECK ADA DJ"/>
      <sheetName val="FC 3 JEV"/>
      <sheetName val="FC3 CONTROL"/>
      <sheetName val="FC6"/>
      <sheetName val="FC6 CONTROL"/>
      <sheetName val="FC7 TF Check DJ"/>
      <sheetName val="FC7 TF JEV"/>
      <sheetName val="FC7 TF.CONTROL"/>
      <sheetName val="FC7 TF CLOSING ENTRY"/>
      <sheetName val="CRJ FC7- JADE"/>
      <sheetName val="CRJ FC7.Control"/>
      <sheetName val="SDO-NIKKI"/>
      <sheetName val="SDO CONTROL"/>
      <sheetName val="CDJ LGU (VL)"/>
      <sheetName val="LGU CONTROL"/>
      <sheetName val="CDJ-AOE (VL)"/>
      <sheetName val="JEV-GJ."/>
      <sheetName val="Sheet2"/>
      <sheetName val="JEV-GJ.Control"/>
      <sheetName val="FC 1 CLOSING ENTRY"/>
      <sheetName val="Post Closing Entry"/>
      <sheetName val="details.906"/>
      <sheetName val="OCTOBER CHECK DJ"/>
      <sheetName val="CkDJ.Control"/>
      <sheetName val="CRJ FC1"/>
      <sheetName val="AP.2017"/>
      <sheetName val="CRJ FC 1 Control"/>
      <sheetName val="FC1 MONITORING"/>
      <sheetName val="Sheet1"/>
      <sheetName val="FC4 MTR"/>
      <sheetName val="FC6 MTR"/>
      <sheetName val="FC7 MTR"/>
      <sheetName val="Kalahi Tax For Adj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21">
          <cell r="H321">
            <v>96360.45</v>
          </cell>
        </row>
        <row r="393">
          <cell r="H393">
            <v>5000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Sheet1"/>
      <sheetName val="FC1CSFP"/>
      <sheetName val="FC1DIS"/>
      <sheetName val="Sheet3"/>
      <sheetName val="Sheet2"/>
      <sheetName val="FC1CIS"/>
      <sheetName val="tb control"/>
      <sheetName val="FC1-Pre TB"/>
      <sheetName val="FC1-Post TB "/>
      <sheetName val="FC1-Pre TB 2022 RESTATED"/>
      <sheetName val="FC1-Post TB 2022 RESTATED"/>
      <sheetName val="Distri."/>
      <sheetName val="Consu."/>
      <sheetName val="SE"/>
      <sheetName val="SE - Furniture"/>
      <sheetName val="FC1 post tb-June"/>
      <sheetName val="FO X June 2016"/>
    </sheetNames>
    <sheetDataSet>
      <sheetData sheetId="0">
        <row r="14">
          <cell r="N14"/>
        </row>
        <row r="17">
          <cell r="J17">
            <v>303065675.70101243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4">
          <cell r="V4"/>
        </row>
        <row r="123">
          <cell r="F123">
            <v>2370546.7499999995</v>
          </cell>
          <cell r="G123">
            <v>9300</v>
          </cell>
        </row>
      </sheetData>
      <sheetData sheetId="2">
        <row r="119">
          <cell r="D119">
            <v>208026896.73916668</v>
          </cell>
          <cell r="E119">
            <v>103511.84</v>
          </cell>
          <cell r="F119">
            <v>972801.92</v>
          </cell>
          <cell r="G119">
            <v>16662.34</v>
          </cell>
          <cell r="N119">
            <v>49865532.290000014</v>
          </cell>
        </row>
      </sheetData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BASE.DISB GOP"/>
      <sheetName val="DBASE.DISB WB"/>
      <sheetName val="Reference"/>
      <sheetName val="CDJ Aug.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 refreshError="1"/>
      <sheetData sheetId="1">
        <row r="123">
          <cell r="F123">
            <v>6261567.7800000003</v>
          </cell>
          <cell r="G123">
            <v>8692.73</v>
          </cell>
          <cell r="R123">
            <v>0</v>
          </cell>
          <cell r="S123">
            <v>17959.490000000002</v>
          </cell>
          <cell r="T123">
            <v>106129126.98</v>
          </cell>
          <cell r="U123">
            <v>10965887.49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"/>
      <sheetName val="FC  3 JEV CHECK ADA DJ"/>
      <sheetName val="FC 3 JEV"/>
      <sheetName val="FC3 CONTROL"/>
      <sheetName val="FC6"/>
      <sheetName val="FC6 CONTROL"/>
      <sheetName val="FC7 TF Check DJ"/>
      <sheetName val="FC7 TF JEV"/>
      <sheetName val="FC7 TF.CONTROL"/>
      <sheetName val="FC7 TF CLOSING ENTRY"/>
      <sheetName val="CRJ FC7"/>
      <sheetName val="CRJ FC7.Control"/>
      <sheetName val="SDO"/>
      <sheetName val="SDO CONTROL"/>
      <sheetName val="CDJ LGU - JESS"/>
      <sheetName val="LGU CONTROL"/>
      <sheetName val="CDJ-AOE JESS"/>
      <sheetName val="JEV-GJ."/>
      <sheetName val="Sheet2"/>
      <sheetName val="JEV-GJ.Control"/>
      <sheetName val="FC 1 CLOSING ENTRY"/>
      <sheetName val="Post Closing Entry"/>
      <sheetName val="details.906"/>
      <sheetName val="OCTOBER CHECK DJ"/>
      <sheetName val="CkDJ.Control"/>
      <sheetName val="CRJ FC1"/>
      <sheetName val="AP.2017"/>
      <sheetName val="CRJ FC 1 Control"/>
      <sheetName val="FC1 MONITORING"/>
      <sheetName val="Sheet1"/>
      <sheetName val="FC4 MTR"/>
      <sheetName val="FC6 MTR"/>
      <sheetName val="FC7 MTR"/>
      <sheetName val="Kalahi Tax For Adj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29">
          <cell r="H629">
            <v>3960000</v>
          </cell>
        </row>
        <row r="707">
          <cell r="H707">
            <v>3425425.01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NE 2024"/>
      <sheetName val="Sheet1"/>
      <sheetName val="Sheet3"/>
      <sheetName val="Sheet2"/>
      <sheetName val="CONTROL"/>
      <sheetName val="SCF REF"/>
      <sheetName val="PANTAWID JUNE"/>
      <sheetName val="CONTROL PANTAWID"/>
      <sheetName val="SCF REF PANTAWID"/>
    </sheetNames>
    <sheetDataSet>
      <sheetData sheetId="0"/>
      <sheetData sheetId="1"/>
      <sheetData sheetId="2"/>
      <sheetData sheetId="3"/>
      <sheetData sheetId="4">
        <row r="115">
          <cell r="E115">
            <v>5110965.55</v>
          </cell>
          <cell r="F115">
            <v>2900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 Titles"/>
      <sheetName val="FC 1"/>
      <sheetName val="JEV"/>
      <sheetName val="JEV-GJ.Control"/>
      <sheetName val="Subsidies from VDRC"/>
      <sheetName val="Liquidations ."/>
    </sheetNames>
    <sheetDataSet>
      <sheetData sheetId="0"/>
      <sheetData sheetId="1"/>
      <sheetData sheetId="2"/>
      <sheetData sheetId="3">
        <row r="115">
          <cell r="F115">
            <v>-2580493.27</v>
          </cell>
        </row>
      </sheetData>
      <sheetData sheetId="4"/>
      <sheetData sheetId="5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"/>
      <sheetName val="FC4 "/>
      <sheetName val="FC4 CONTROL"/>
      <sheetName val="FC6"/>
      <sheetName val="FC6 CONTROL"/>
      <sheetName val="FC7 TF Check DJ"/>
      <sheetName val="FC7 TF JEV"/>
      <sheetName val="FC7 TF.CONTROL"/>
      <sheetName val="FC7 TF CLOSING ENTRY"/>
      <sheetName val="CRJ FC7-VL"/>
      <sheetName val="CRJ FC7.Control"/>
      <sheetName val="SDO-NIKKI"/>
      <sheetName val="CDJ LGU (VL)"/>
      <sheetName val="LGU CONTROL"/>
      <sheetName val="CDJ-AOE (VL)"/>
      <sheetName val="JEV FC 1 - February"/>
      <sheetName val="FC 1 CLOSING ENTRY"/>
      <sheetName val="Post Closing Entry"/>
      <sheetName val="details.906"/>
      <sheetName val="JEV-GJ.Control"/>
      <sheetName val="JULY CHECK DJ"/>
      <sheetName val="CkDJ.Control"/>
      <sheetName val="CRJ FC1"/>
      <sheetName val="AP.2017"/>
      <sheetName val="CRJ FC 1 Control"/>
      <sheetName val="FC1 MONITORING"/>
      <sheetName val="Sheet1"/>
      <sheetName val="FC4 MTR"/>
      <sheetName val="FC6 MTR"/>
      <sheetName val="FC7 MTR"/>
      <sheetName val="Kalahi Tax For Adj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15">
          <cell r="E115">
            <v>2139728.4500000002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 Titles"/>
      <sheetName val="JEV"/>
      <sheetName val="JEV (2)"/>
      <sheetName val="fc7"/>
      <sheetName val="GJ-FC1"/>
      <sheetName val="JEV-GJ.Control"/>
      <sheetName val="Sheet3"/>
      <sheetName val="2018"/>
      <sheetName val="2019"/>
      <sheetName val="2020"/>
      <sheetName val="subsidy1"/>
      <sheetName val="Subsidy"/>
      <sheetName val="Sheet5"/>
      <sheetName val="Liquidations(1)"/>
      <sheetName val="Subsidies from VDRC (2)"/>
      <sheetName val="Liquidations"/>
      <sheetName val="Sheet1"/>
      <sheetName val="Sheet2"/>
      <sheetName val="Subsidies from VDRC"/>
      <sheetName val="JEV-GJ.-AUG"/>
    </sheetNames>
    <sheetDataSet>
      <sheetData sheetId="0"/>
      <sheetData sheetId="1"/>
      <sheetData sheetId="2"/>
      <sheetData sheetId="3"/>
      <sheetData sheetId="4"/>
      <sheetData sheetId="5">
        <row r="115">
          <cell r="D115">
            <v>80753360.080000013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 Titles"/>
      <sheetName val="LP"/>
      <sheetName val="GJ"/>
      <sheetName val="JEV-GJ.Control"/>
      <sheetName val=" December 12cycle 2023"/>
      <sheetName val="January 12cycle 2024"/>
      <sheetName val="GJ-February 2024"/>
      <sheetName val="February 12cycle 2024"/>
      <sheetName val="JEV GJ"/>
      <sheetName val="For JEV"/>
      <sheetName val="CDJ 138 (2)"/>
      <sheetName val="CDJ - 138 136 139 (2)"/>
      <sheetName val="CDJ - 136 138 139"/>
      <sheetName val="CDJ - 103 148"/>
      <sheetName val="JEV-GJ"/>
      <sheetName val="CkDJ"/>
      <sheetName val="CkDJ MDS 2"/>
      <sheetName val="CkDJ MDS 1"/>
      <sheetName val="JEV Control"/>
      <sheetName val="CDJ Control"/>
      <sheetName val="GOP Control"/>
      <sheetName val="Sheet1"/>
      <sheetName val="Requested Ext"/>
      <sheetName val="Internal sorted (3)"/>
      <sheetName val="Requested Ext Final"/>
      <sheetName val="Internal sortedFinal"/>
      <sheetName val="Sheet2"/>
      <sheetName val="Sheet4"/>
    </sheetNames>
    <sheetDataSet>
      <sheetData sheetId="0"/>
      <sheetData sheetId="1"/>
      <sheetData sheetId="2"/>
      <sheetData sheetId="3">
        <row r="115">
          <cell r="D115">
            <v>57377753.950000033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 Titles"/>
      <sheetName val="LP"/>
      <sheetName val="GJ"/>
      <sheetName val="JEV-GJ.Control"/>
      <sheetName val="February 13th cycle 2024"/>
      <sheetName val="GJ February 13th cycle 2024"/>
      <sheetName val="JEV GJ"/>
      <sheetName val="For JEV"/>
      <sheetName val="CDJ 138 (2)"/>
      <sheetName val="CDJ - 138 136 139 (2)"/>
      <sheetName val="CDJ - 136 138 139"/>
      <sheetName val="CDJ - 103 148"/>
      <sheetName val="JEV-GJ"/>
      <sheetName val="CkDJ"/>
      <sheetName val="CkDJ MDS 2"/>
      <sheetName val="CkDJ MDS 1"/>
      <sheetName val="JEV Control"/>
      <sheetName val="CDJ Control"/>
      <sheetName val="GOP Control"/>
      <sheetName val="Sheet1"/>
      <sheetName val="Requested Ext"/>
      <sheetName val="Internal sorted (3)"/>
      <sheetName val="Requested Ext Final"/>
      <sheetName val="Internal sortedFinal"/>
      <sheetName val="Sheet2"/>
      <sheetName val="Sheet4"/>
    </sheetNames>
    <sheetDataSet>
      <sheetData sheetId="0"/>
      <sheetData sheetId="1"/>
      <sheetData sheetId="2"/>
      <sheetData sheetId="3">
        <row r="115">
          <cell r="D115">
            <v>64681960.459999993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-BOAS 2022"/>
      <sheetName val="Conso-Breakdown of ASD 2021"/>
      <sheetName val="Conso-SCBAA 2022"/>
      <sheetName val="Conso-CF 2021"/>
      <sheetName val="Conso-SCNAE 2022"/>
      <sheetName val="Conso-Condensed SoCF 2022"/>
      <sheetName val="Conso-Detailed SoCF 2022"/>
      <sheetName val="Conso-NetAssets 2021"/>
      <sheetName val="Conso-CSFPosition 2022"/>
      <sheetName val="Conso-DetailedPosition 2022"/>
      <sheetName val="Conso-CSFPerfor 2022"/>
      <sheetName val="Conso-DetailedPerf 2022"/>
      <sheetName val="Conso-Post TB 2022"/>
      <sheetName val="Conso-Pre TB 2022"/>
      <sheetName val="FO X June 2016"/>
    </sheetNames>
    <sheetDataSet>
      <sheetData sheetId="0"/>
      <sheetData sheetId="1"/>
      <sheetData sheetId="2"/>
      <sheetData sheetId="3"/>
      <sheetData sheetId="4">
        <row r="12">
          <cell r="H12">
            <v>197996036.94</v>
          </cell>
        </row>
      </sheetData>
      <sheetData sheetId="5"/>
      <sheetData sheetId="6">
        <row r="67">
          <cell r="H67">
            <v>217778059.54999998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Sheet1"/>
      <sheetName val="FC1CSFP"/>
      <sheetName val="FC1DIS"/>
      <sheetName val="Sheet3"/>
      <sheetName val="Sheet2"/>
      <sheetName val="FC1CIS"/>
      <sheetName val="tb control"/>
      <sheetName val="FC1-Pre TB"/>
      <sheetName val="FC1-Post TB "/>
      <sheetName val="FC1-Pre TB 2023 RESTATED"/>
      <sheetName val="FC1-Post TB 2023 RESTATED"/>
      <sheetName val="Distri."/>
      <sheetName val="Consu."/>
      <sheetName val="SE"/>
      <sheetName val="SE - Furniture"/>
      <sheetName val="FC1 post tb-June"/>
      <sheetName val="FO X June 2016"/>
    </sheetNames>
    <sheetDataSet>
      <sheetData sheetId="0">
        <row r="12">
          <cell r="M12">
            <v>3157515.03</v>
          </cell>
        </row>
        <row r="17">
          <cell r="J17">
            <v>121311895.66000032</v>
          </cell>
        </row>
        <row r="27">
          <cell r="L27">
            <v>1540491671.3800001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BASE.DISB GOP"/>
      <sheetName val="DBASE.DISB WB"/>
      <sheetName val="Reference"/>
      <sheetName val="CDJ Aug.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-BOAS 2024"/>
      <sheetName val="Conso-SCBAA 2024"/>
      <sheetName val="Conso-SCNAE 2024"/>
      <sheetName val="Conso-Condensed SoCF 2024"/>
      <sheetName val="Conso-Detailed SoCF 2024"/>
      <sheetName val="Conso-CSFPosition 2024"/>
      <sheetName val="Conso-DetailedPosition 2024"/>
      <sheetName val="Conso-CSFPerfor 2024"/>
      <sheetName val="Conso-DetailedPerf 2024"/>
      <sheetName val="Conso-Post TB 2024"/>
      <sheetName val="Conso-Pre TB 2024"/>
      <sheetName val="Conso-Pre TB 2023 Restated"/>
      <sheetName val="Conso-Post TB 2023 Restated"/>
    </sheetNames>
    <sheetDataSet>
      <sheetData sheetId="0">
        <row r="40">
          <cell r="D40">
            <v>-11759380</v>
          </cell>
        </row>
        <row r="42">
          <cell r="D42">
            <v>-518426.36000000004</v>
          </cell>
        </row>
        <row r="43">
          <cell r="D43">
            <v>-174410</v>
          </cell>
        </row>
        <row r="45">
          <cell r="D45">
            <v>-15000</v>
          </cell>
        </row>
        <row r="48">
          <cell r="D48">
            <v>-10800</v>
          </cell>
        </row>
        <row r="50">
          <cell r="D50">
            <v>-850000</v>
          </cell>
        </row>
        <row r="61">
          <cell r="D61">
            <v>2447200</v>
          </cell>
        </row>
        <row r="62">
          <cell r="D62">
            <v>691.71</v>
          </cell>
        </row>
        <row r="69">
          <cell r="D69">
            <v>-0.16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FC1CIS"/>
      <sheetName val="tb control"/>
      <sheetName val="FC1-Pre TB 2024"/>
      <sheetName val="FC1-Post TB 2024"/>
      <sheetName val="Restated FC1-Pre TB 2023"/>
      <sheetName val="Restated FC1-Post TB 2023"/>
    </sheetNames>
    <sheetDataSet>
      <sheetData sheetId="0">
        <row r="15">
          <cell r="J15">
            <v>114843771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3SGE"/>
      <sheetName val="FC3SFP"/>
      <sheetName val="FC3CSFP"/>
      <sheetName val="FC3DIS"/>
      <sheetName val="FC3CIS"/>
      <sheetName val="tb control"/>
      <sheetName val="FC3-Pre TB 2024"/>
      <sheetName val="FC3-Post TB 2024"/>
      <sheetName val="Restated FC3-Pre TB"/>
      <sheetName val="Restated FC3-Post TB "/>
    </sheetNames>
    <sheetDataSet>
      <sheetData sheetId="0">
        <row r="15">
          <cell r="J15">
            <v>4826495.24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4SCF"/>
      <sheetName val="FC1SGE"/>
      <sheetName val="FC1SFP"/>
      <sheetName val="FC1CSFP"/>
      <sheetName val="FC1DIS"/>
      <sheetName val="FC1CIS"/>
      <sheetName val="tb control"/>
      <sheetName val="FC1-Post TB"/>
      <sheetName val="FC1-Pre TB"/>
      <sheetName val="FC1 post tb-June"/>
      <sheetName val="FO X June 2016"/>
    </sheetNames>
    <sheetDataSet>
      <sheetData sheetId="0"/>
      <sheetData sheetId="1">
        <row r="19">
          <cell r="J19">
            <v>1060847.8499999975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7SGE"/>
      <sheetName val="FC7SFP"/>
      <sheetName val="FC7CSFP"/>
      <sheetName val="FC7DIS"/>
      <sheetName val="FC7CIS"/>
      <sheetName val="tb control"/>
      <sheetName val="FC7-Pre TB 2024"/>
      <sheetName val="FC7-Post TB 2024"/>
      <sheetName val="FC7-Pre TB 2023"/>
      <sheetName val="FC7-Post TB 2023"/>
    </sheetNames>
    <sheetDataSet>
      <sheetData sheetId="0">
        <row r="15">
          <cell r="J15">
            <v>20465343.579999998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FC1CIS"/>
      <sheetName val="tb control"/>
      <sheetName val="FC1-Pre TB"/>
      <sheetName val="FC1-Post TB "/>
      <sheetName val="FC1-Pre TB 2022 RESTATED"/>
      <sheetName val="FC1-Post TB 2022 RESTATED"/>
      <sheetName val="FC1 post tb-June"/>
      <sheetName val="FO X June 2016"/>
    </sheetNames>
    <sheetDataSet>
      <sheetData sheetId="0">
        <row r="20">
          <cell r="M20">
            <v>-605907.75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FC1CIS"/>
      <sheetName val="tb control"/>
      <sheetName val="FC1-Pre TB"/>
      <sheetName val="FC1-Post TB "/>
      <sheetName val="FC1-Pre TB 2022 RESTATED"/>
      <sheetName val="FC1-Post TB 2022 RESTATED"/>
      <sheetName val="FC1 post tb-June"/>
      <sheetName val="FO X June 2016"/>
    </sheetNames>
    <sheetDataSet>
      <sheetData sheetId="0">
        <row r="15">
          <cell r="J1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</sheetNames>
    <sheetDataSet>
      <sheetData sheetId="0"/>
      <sheetData sheetId="1">
        <row r="104">
          <cell r="Y104">
            <v>6704797.0099999998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Adj-APRGOP"/>
      <sheetName val="TB (2)"/>
      <sheetName val="TB"/>
      <sheetName val="CF"/>
      <sheetName val="JEV"/>
      <sheetName val="JEV_TB"/>
      <sheetName val="4PS_CDJ"/>
      <sheetName val="4PS_TB"/>
      <sheetName val="4PS_CF"/>
      <sheetName val="4PS_JEV"/>
      <sheetName val="4PS_JEV TB"/>
      <sheetName val="ADJ ENTRY"/>
      <sheetName val="TB_ADJ"/>
      <sheetName val="LIST OF REVETED AP (JEV# 2072)"/>
    </sheetNames>
    <sheetDataSet>
      <sheetData sheetId="0" refreshError="1">
        <row r="119">
          <cell r="BX119">
            <v>9697.7999999999993</v>
          </cell>
        </row>
        <row r="120">
          <cell r="BX120">
            <v>5129.17</v>
          </cell>
        </row>
        <row r="121">
          <cell r="BX121">
            <v>2133.58</v>
          </cell>
        </row>
        <row r="122">
          <cell r="BX122">
            <v>9395.4</v>
          </cell>
        </row>
        <row r="123">
          <cell r="BX123">
            <v>8417.5</v>
          </cell>
        </row>
        <row r="131">
          <cell r="BX131">
            <v>5000</v>
          </cell>
        </row>
        <row r="136">
          <cell r="BX136">
            <v>9038.69</v>
          </cell>
        </row>
        <row r="149">
          <cell r="BX149">
            <v>19512.689999999999</v>
          </cell>
        </row>
        <row r="152">
          <cell r="BX152">
            <v>5564.08</v>
          </cell>
        </row>
        <row r="153">
          <cell r="BX153">
            <v>4162.37</v>
          </cell>
        </row>
        <row r="198">
          <cell r="BX198">
            <v>3462.33</v>
          </cell>
        </row>
        <row r="201">
          <cell r="BX201">
            <v>2087.58</v>
          </cell>
        </row>
        <row r="202">
          <cell r="BX202">
            <v>952.43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Adj-APRGOP"/>
      <sheetName val="TB (2)"/>
      <sheetName val="TB"/>
      <sheetName val="CF"/>
      <sheetName val="JEV"/>
      <sheetName val="JEV_TB"/>
      <sheetName val="4PS_CDJ"/>
      <sheetName val="4PS_TB"/>
      <sheetName val="4PS_CF"/>
      <sheetName val="4PS_JEV"/>
      <sheetName val="4PS_JEV TB"/>
      <sheetName val="ADJ ENTRY"/>
      <sheetName val="TB_ADJ"/>
      <sheetName val="LIST OF REVETED AP (JEV# 2072)"/>
    </sheetNames>
    <sheetDataSet>
      <sheetData sheetId="0" refreshError="1">
        <row r="14">
          <cell r="BX14">
            <v>11143.22</v>
          </cell>
        </row>
        <row r="15">
          <cell r="BX15">
            <v>1605.98</v>
          </cell>
        </row>
        <row r="16">
          <cell r="BX16">
            <v>1738.81</v>
          </cell>
        </row>
        <row r="17">
          <cell r="BX17">
            <v>8512.7000000000007</v>
          </cell>
        </row>
        <row r="21">
          <cell r="BX21">
            <v>84445.51</v>
          </cell>
        </row>
        <row r="27">
          <cell r="BX27">
            <v>1500.69</v>
          </cell>
        </row>
        <row r="28">
          <cell r="BX28">
            <v>4862.84</v>
          </cell>
        </row>
        <row r="31">
          <cell r="BX31">
            <v>4311.6400000000003</v>
          </cell>
        </row>
        <row r="33">
          <cell r="BX33">
            <v>1923.81</v>
          </cell>
        </row>
        <row r="35">
          <cell r="BX35">
            <v>1895.38</v>
          </cell>
        </row>
        <row r="37">
          <cell r="BX37">
            <v>2548.2399999999998</v>
          </cell>
        </row>
        <row r="39">
          <cell r="BX39">
            <v>2379.7600000000002</v>
          </cell>
        </row>
        <row r="41">
          <cell r="BX41">
            <v>1442.58</v>
          </cell>
        </row>
        <row r="48">
          <cell r="BX48">
            <v>5300</v>
          </cell>
        </row>
        <row r="54">
          <cell r="BX54">
            <v>400</v>
          </cell>
        </row>
        <row r="57">
          <cell r="BX57">
            <v>36319</v>
          </cell>
        </row>
        <row r="65">
          <cell r="BX65">
            <v>6000</v>
          </cell>
        </row>
        <row r="108">
          <cell r="BX108">
            <v>148946.96</v>
          </cell>
        </row>
        <row r="139">
          <cell r="BX139">
            <v>4311.6400000000003</v>
          </cell>
        </row>
        <row r="147">
          <cell r="BX147">
            <v>4000</v>
          </cell>
        </row>
        <row r="154">
          <cell r="BX154">
            <v>100</v>
          </cell>
        </row>
        <row r="156">
          <cell r="BX156">
            <v>100</v>
          </cell>
        </row>
        <row r="271">
          <cell r="BX271">
            <v>3000</v>
          </cell>
        </row>
        <row r="272">
          <cell r="BX272">
            <v>640</v>
          </cell>
        </row>
        <row r="338">
          <cell r="BX338">
            <v>14251.14</v>
          </cell>
        </row>
        <row r="339">
          <cell r="BX339">
            <v>11124.21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Adj-APRGOP"/>
      <sheetName val="TB"/>
      <sheetName val="CF"/>
      <sheetName val="JEV"/>
      <sheetName val="JEV_TB"/>
      <sheetName val="4PS_CDJ"/>
      <sheetName val="4PS_TB"/>
      <sheetName val="4PS_CF"/>
      <sheetName val="4PS_JEV"/>
      <sheetName val="4PS_JEV TB"/>
      <sheetName val="ADJ ENTRY"/>
      <sheetName val="TB_ADJ"/>
      <sheetName val="LIST OF REVETED AP (JEV# 2072)"/>
    </sheetNames>
    <sheetDataSet>
      <sheetData sheetId="0" refreshError="1">
        <row r="1017">
          <cell r="O1017">
            <v>236.93</v>
          </cell>
        </row>
        <row r="1018">
          <cell r="O1018">
            <v>389234</v>
          </cell>
        </row>
        <row r="1019">
          <cell r="O1019">
            <v>573475</v>
          </cell>
        </row>
        <row r="1020">
          <cell r="O1020">
            <v>30694</v>
          </cell>
        </row>
        <row r="1021">
          <cell r="O1021">
            <v>120989</v>
          </cell>
        </row>
        <row r="1022">
          <cell r="O1022">
            <v>28244</v>
          </cell>
        </row>
        <row r="1023">
          <cell r="O1023">
            <v>24000</v>
          </cell>
        </row>
        <row r="1024">
          <cell r="O1024">
            <v>43000</v>
          </cell>
        </row>
        <row r="1025">
          <cell r="O1025">
            <v>157500</v>
          </cell>
        </row>
        <row r="1026">
          <cell r="O1026">
            <v>173000</v>
          </cell>
        </row>
        <row r="1027">
          <cell r="O1027">
            <v>24000</v>
          </cell>
        </row>
        <row r="1031">
          <cell r="O1031">
            <v>98239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Y 2023"/>
      <sheetName val="CONTROL"/>
      <sheetName val="SCF REF"/>
      <sheetName val="Sheet1"/>
    </sheetNames>
    <sheetDataSet>
      <sheetData sheetId="0" refreshError="1">
        <row r="135">
          <cell r="EL135">
            <v>24118.87</v>
          </cell>
        </row>
        <row r="168">
          <cell r="EL168">
            <v>15112.16</v>
          </cell>
        </row>
        <row r="221">
          <cell r="EL221">
            <v>13243.5</v>
          </cell>
        </row>
        <row r="227">
          <cell r="EL227">
            <v>6281.75</v>
          </cell>
        </row>
        <row r="228">
          <cell r="EL228">
            <v>1840.4</v>
          </cell>
        </row>
        <row r="229">
          <cell r="EL229">
            <v>3967.65</v>
          </cell>
        </row>
        <row r="237">
          <cell r="EL237">
            <v>1796.04</v>
          </cell>
        </row>
        <row r="240">
          <cell r="EL240">
            <v>1417.38</v>
          </cell>
        </row>
        <row r="241">
          <cell r="EL241">
            <v>553.21</v>
          </cell>
        </row>
        <row r="242">
          <cell r="EL242">
            <v>4959.09</v>
          </cell>
        </row>
        <row r="319">
          <cell r="EL319">
            <v>4882.43</v>
          </cell>
        </row>
        <row r="321">
          <cell r="EL321">
            <v>995.78</v>
          </cell>
        </row>
        <row r="324">
          <cell r="EL324">
            <v>6725.3</v>
          </cell>
        </row>
        <row r="325">
          <cell r="EL325">
            <v>2107.64</v>
          </cell>
        </row>
        <row r="326">
          <cell r="EL326">
            <v>685.76</v>
          </cell>
        </row>
        <row r="327">
          <cell r="EL327">
            <v>713.45</v>
          </cell>
        </row>
        <row r="442">
          <cell r="EL442">
            <v>701.94</v>
          </cell>
        </row>
        <row r="444">
          <cell r="EL444">
            <v>379.96</v>
          </cell>
        </row>
        <row r="446">
          <cell r="EL446">
            <v>701.94</v>
          </cell>
        </row>
        <row r="448">
          <cell r="EL448">
            <v>1399.26</v>
          </cell>
        </row>
        <row r="450">
          <cell r="EL450">
            <v>379.96</v>
          </cell>
        </row>
        <row r="588">
          <cell r="EL588">
            <v>14054.18</v>
          </cell>
        </row>
        <row r="589">
          <cell r="EL589">
            <v>2324.84</v>
          </cell>
        </row>
        <row r="590">
          <cell r="EL590">
            <v>4100</v>
          </cell>
        </row>
        <row r="591">
          <cell r="EL591">
            <v>998</v>
          </cell>
        </row>
        <row r="592">
          <cell r="EL592">
            <v>5136.5</v>
          </cell>
        </row>
        <row r="598">
          <cell r="EL598">
            <v>48338.400000000001</v>
          </cell>
        </row>
        <row r="599">
          <cell r="EL599">
            <v>7297</v>
          </cell>
        </row>
        <row r="600">
          <cell r="EL600">
            <v>19765.72</v>
          </cell>
        </row>
        <row r="601">
          <cell r="EL601">
            <v>2541.5</v>
          </cell>
        </row>
        <row r="602">
          <cell r="EL602">
            <v>6000</v>
          </cell>
        </row>
        <row r="603">
          <cell r="EL603">
            <v>3429.18</v>
          </cell>
        </row>
        <row r="604">
          <cell r="EL604">
            <v>13072.03</v>
          </cell>
        </row>
        <row r="605">
          <cell r="EL605">
            <v>9855</v>
          </cell>
        </row>
        <row r="606">
          <cell r="EL606">
            <v>14815.82</v>
          </cell>
        </row>
        <row r="623">
          <cell r="AU623">
            <v>8840.6000000000022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BRUARY 2023 SORT"/>
      <sheetName val="FEBRUARY 2023"/>
      <sheetName val="FEBRUARY 2023 SORT REV"/>
      <sheetName val="Sheet2"/>
      <sheetName val="CONTROL"/>
      <sheetName val="SCF REF"/>
      <sheetName val="Sheet1"/>
    </sheetNames>
    <sheetDataSet>
      <sheetData sheetId="0"/>
      <sheetData sheetId="1"/>
      <sheetData sheetId="2">
        <row r="5">
          <cell r="EL5">
            <v>1851.92</v>
          </cell>
        </row>
        <row r="74">
          <cell r="EL74">
            <v>555584.80000000005</v>
          </cell>
        </row>
        <row r="75">
          <cell r="EL75">
            <v>63165.2</v>
          </cell>
        </row>
        <row r="96">
          <cell r="EL96">
            <v>1259.3399999999999</v>
          </cell>
        </row>
        <row r="97">
          <cell r="EL97">
            <v>47926.94</v>
          </cell>
        </row>
        <row r="139">
          <cell r="EL139">
            <v>9806.25</v>
          </cell>
        </row>
        <row r="140">
          <cell r="EL140">
            <v>1700.8</v>
          </cell>
        </row>
        <row r="141">
          <cell r="EL141">
            <v>10000</v>
          </cell>
        </row>
        <row r="142">
          <cell r="EL142">
            <v>5000</v>
          </cell>
        </row>
        <row r="146">
          <cell r="EL146">
            <v>9889.65</v>
          </cell>
        </row>
        <row r="159">
          <cell r="EL159">
            <v>55415.31</v>
          </cell>
        </row>
        <row r="160">
          <cell r="EL160">
            <v>919.22</v>
          </cell>
        </row>
        <row r="203">
          <cell r="EL203">
            <v>4450</v>
          </cell>
        </row>
        <row r="204">
          <cell r="EL204">
            <v>3600</v>
          </cell>
        </row>
        <row r="205">
          <cell r="EL205">
            <v>3600</v>
          </cell>
        </row>
        <row r="206">
          <cell r="EL206">
            <v>2700</v>
          </cell>
        </row>
        <row r="207">
          <cell r="EL207">
            <v>6463.94</v>
          </cell>
        </row>
        <row r="208">
          <cell r="EL208">
            <v>1060.3900000000001</v>
          </cell>
        </row>
        <row r="232">
          <cell r="EL232">
            <v>8062.91</v>
          </cell>
        </row>
        <row r="233">
          <cell r="EL233">
            <v>3732.13</v>
          </cell>
        </row>
        <row r="445">
          <cell r="EL445">
            <v>133085.07</v>
          </cell>
        </row>
        <row r="456">
          <cell r="EL456">
            <v>95251</v>
          </cell>
        </row>
        <row r="504">
          <cell r="EL504">
            <v>56100</v>
          </cell>
        </row>
        <row r="505">
          <cell r="EL505">
            <v>18660</v>
          </cell>
        </row>
        <row r="602">
          <cell r="EL602">
            <v>27904</v>
          </cell>
        </row>
        <row r="610">
          <cell r="EL610">
            <v>11016</v>
          </cell>
        </row>
        <row r="624">
          <cell r="EL624">
            <v>3100</v>
          </cell>
        </row>
        <row r="686">
          <cell r="EL686">
            <v>420000</v>
          </cell>
        </row>
        <row r="687">
          <cell r="EL687">
            <v>290000</v>
          </cell>
        </row>
        <row r="718">
          <cell r="EL718">
            <v>656500</v>
          </cell>
        </row>
        <row r="745">
          <cell r="EL745">
            <v>5584.72</v>
          </cell>
        </row>
        <row r="746">
          <cell r="EL746">
            <v>1650</v>
          </cell>
        </row>
        <row r="747">
          <cell r="EL747">
            <v>850</v>
          </cell>
        </row>
        <row r="748">
          <cell r="EL748">
            <v>725</v>
          </cell>
        </row>
        <row r="768">
          <cell r="EL768">
            <v>43948.639999999999</v>
          </cell>
        </row>
        <row r="784">
          <cell r="EL784">
            <v>408.04</v>
          </cell>
        </row>
        <row r="786">
          <cell r="EL786">
            <v>408.04</v>
          </cell>
        </row>
        <row r="796">
          <cell r="EL796">
            <v>4800</v>
          </cell>
        </row>
        <row r="797">
          <cell r="EL797">
            <v>2400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CH 2023 sorted per acct"/>
      <sheetName val="MARCH 2023 arranged per ADA"/>
      <sheetName val="CONTROL"/>
      <sheetName val="SCF REF"/>
      <sheetName val="Sheet1"/>
    </sheetNames>
    <sheetDataSet>
      <sheetData sheetId="0" refreshError="1"/>
      <sheetData sheetId="1" refreshError="1">
        <row r="258">
          <cell r="AV258">
            <v>179.68</v>
          </cell>
        </row>
        <row r="282">
          <cell r="AV282">
            <v>841.06</v>
          </cell>
        </row>
        <row r="424">
          <cell r="AV424">
            <v>8</v>
          </cell>
        </row>
        <row r="447">
          <cell r="AV447">
            <v>0.02</v>
          </cell>
        </row>
        <row r="1518">
          <cell r="AV1518">
            <v>4660</v>
          </cell>
        </row>
        <row r="2865">
          <cell r="EM2865">
            <v>455817</v>
          </cell>
        </row>
        <row r="2866">
          <cell r="EM2866">
            <v>1989119.63</v>
          </cell>
        </row>
        <row r="2867">
          <cell r="EM2867">
            <v>305748</v>
          </cell>
        </row>
        <row r="2868">
          <cell r="EM2868">
            <v>845533.82</v>
          </cell>
        </row>
        <row r="2869">
          <cell r="EM2869">
            <v>449287.84</v>
          </cell>
        </row>
        <row r="2870">
          <cell r="EM2870">
            <v>186017.38</v>
          </cell>
        </row>
        <row r="2871">
          <cell r="EM2871">
            <v>18396</v>
          </cell>
        </row>
        <row r="2872">
          <cell r="EM2872">
            <v>195340</v>
          </cell>
        </row>
        <row r="2873">
          <cell r="EM2873">
            <v>7200</v>
          </cell>
        </row>
        <row r="2874">
          <cell r="EM2874">
            <v>900</v>
          </cell>
        </row>
        <row r="2875">
          <cell r="EM2875">
            <v>413821.92</v>
          </cell>
        </row>
        <row r="2876">
          <cell r="EM2876">
            <v>268878.54000000004</v>
          </cell>
        </row>
        <row r="2877">
          <cell r="EM2877">
            <v>620623.19999999995</v>
          </cell>
        </row>
        <row r="2878">
          <cell r="EM2878">
            <v>519632.75</v>
          </cell>
        </row>
        <row r="2879">
          <cell r="EM2879">
            <v>156521.99</v>
          </cell>
        </row>
        <row r="2880">
          <cell r="EM2880">
            <v>5429156.4000000004</v>
          </cell>
        </row>
        <row r="2881">
          <cell r="EM2881">
            <v>70000</v>
          </cell>
        </row>
        <row r="2882">
          <cell r="EM2882">
            <v>117350</v>
          </cell>
        </row>
        <row r="2883">
          <cell r="EM2883">
            <v>729474.18</v>
          </cell>
        </row>
      </sheetData>
      <sheetData sheetId="2" refreshError="1"/>
      <sheetData sheetId="3" refreshError="1"/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1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0.xml"/></Relationships>
</file>

<file path=xl/pivotCache/_rels/pivotCacheDefinition1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1.xml"/></Relationships>
</file>

<file path=xl/pivotCache/_rels/pivotCacheDefinition1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2.xml"/></Relationships>
</file>

<file path=xl/pivotCache/_rels/pivotCacheDefinition1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3.xml"/></Relationships>
</file>

<file path=xl/pivotCache/_rels/pivotCacheDefinition1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4.xml"/></Relationships>
</file>

<file path=xl/pivotCache/_rels/pivotCacheDefinition1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5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_rels/pivotCacheDefinition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8.xml"/></Relationships>
</file>

<file path=xl/pivotCache/_rels/pivotCacheDefinition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alene G. Miñoza" refreshedDate="45364.420551388888" createdVersion="5" refreshedVersion="5" minRefreshableVersion="3" recordCount="30">
  <cacheSource type="worksheet">
    <worksheetSource ref="A9:B39" sheet="WORKING PAPER FC1"/>
  </cacheSource>
  <cacheFields count="2">
    <cacheField name="CHECK ADA DJ MDS " numFmtId="0">
      <sharedItems containsSemiMixedTypes="0" containsString="0" containsNumber="1" containsInteger="1" minValue="5010101001" maxValue="5021199000" count="5">
        <n v="5020402000"/>
        <n v="5021199000"/>
        <n v="5010102000"/>
        <n v="5010101001"/>
        <n v="5020502002"/>
      </sharedItems>
    </cacheField>
    <cacheField name="-124,970.56 " numFmtId="43">
      <sharedItems containsSemiMixedTypes="0" containsString="0" containsNumber="1" minValue="-27007.38" maxValue="2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r:id="rId1" refreshedBy="Valene G. Miñoza" refreshedDate="45387.648218171293" createdVersion="5" refreshedVersion="5" minRefreshableVersion="3" recordCount="108">
  <cacheSource type="worksheet">
    <worksheetSource ref="K123:L231" sheet="WORKING PAPER FC1"/>
  </cacheSource>
  <cacheFields count="2">
    <cacheField name="GOP CHECK DJ" numFmtId="0">
      <sharedItems containsSemiMixedTypes="0" containsString="0" containsNumber="1" containsInteger="1" minValue="5010102000" maxValue="5029999099" count="9">
        <n v="5010102000"/>
        <n v="5020101000"/>
        <n v="5020309000"/>
        <n v="5020401000"/>
        <n v="5020201000"/>
        <n v="5029903000"/>
        <n v="5029999099"/>
        <n v="5020501000"/>
        <n v="5021305002"/>
      </sharedItems>
    </cacheField>
    <cacheField name="-8,817,353.10 " numFmtId="43">
      <sharedItems containsSemiMixedTypes="0" containsString="0" containsNumber="1" minValue="-6336000" maxValue="-7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1.xml><?xml version="1.0" encoding="utf-8"?>
<pivotCacheDefinition xmlns="http://schemas.openxmlformats.org/spreadsheetml/2006/main" xmlns:r="http://schemas.openxmlformats.org/officeDocument/2006/relationships" r:id="rId1" refreshedBy="Valene G. Miñoza" refreshedDate="45414.558384837961" createdVersion="5" refreshedVersion="5" minRefreshableVersion="3" recordCount="90">
  <cacheSource type="worksheet">
    <worksheetSource ref="S10:T100" sheet="WORKING PAPER FC1"/>
  </cacheSource>
  <cacheFields count="2">
    <cacheField name="MDS CHECK DJ" numFmtId="0">
      <sharedItems containsSemiMixedTypes="0" containsString="0" containsNumber="1" containsInteger="1" minValue="5010101001" maxValue="5029999099" count="19">
        <n v="5021199000"/>
        <n v="5010101001"/>
        <n v="5021499000"/>
        <n v="5020201000"/>
        <n v="5029903000"/>
        <n v="5020101000"/>
        <n v="5020321002"/>
        <n v="5029999099"/>
        <n v="5029901000"/>
        <n v="5020308000"/>
        <n v="5020399000"/>
        <n v="5020307000"/>
        <n v="5020322001"/>
        <n v="5020301000"/>
        <n v="5021103000"/>
        <n v="5021305003"/>
        <n v="5020501000"/>
        <n v="5029904000"/>
        <n v="5029902000"/>
      </sharedItems>
    </cacheField>
    <cacheField name="-17,639,654.57 " numFmtId="43">
      <sharedItems containsSemiMixedTypes="0" containsString="0" containsNumber="1" minValue="-3146000" maxValue="265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2.xml><?xml version="1.0" encoding="utf-8"?>
<pivotCacheDefinition xmlns="http://schemas.openxmlformats.org/spreadsheetml/2006/main" xmlns:r="http://schemas.openxmlformats.org/officeDocument/2006/relationships" r:id="rId1" refreshedBy="Valene G. Miñoza" refreshedDate="45415.658724537039" createdVersion="5" refreshedVersion="5" minRefreshableVersion="3" recordCount="10">
  <cacheSource type="worksheet">
    <worksheetSource ref="S123:T133" sheet="WORKING PAPER FC1"/>
  </cacheSource>
  <cacheFields count="2">
    <cacheField name="JADE'S GJ" numFmtId="0">
      <sharedItems containsSemiMixedTypes="0" containsString="0" containsNumber="1" containsInteger="1" minValue="1040501000" maxValue="1069803000" count="9">
        <n v="1069803000"/>
        <n v="1060401100"/>
        <n v="1040502000"/>
        <n v="1040601000"/>
        <n v="1040503000"/>
        <n v="1040510000"/>
        <n v="1040501000"/>
        <n v="1040512000"/>
        <n v="1040599000"/>
      </sharedItems>
    </cacheField>
    <cacheField name="-6,395,389.35 " numFmtId="43">
      <sharedItems containsSemiMixedTypes="0" containsString="0" containsNumber="1" minValue="-3306911.22" maxValue="-2255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3.xml><?xml version="1.0" encoding="utf-8"?>
<pivotCacheDefinition xmlns="http://schemas.openxmlformats.org/spreadsheetml/2006/main" xmlns:r="http://schemas.openxmlformats.org/officeDocument/2006/relationships" r:id="rId1" refreshedBy="Valene G. Miñoza" refreshedDate="45447.611414120373" createdVersion="5" refreshedVersion="5" minRefreshableVersion="3" recordCount="6">
  <cacheSource type="worksheet">
    <worksheetSource ref="AG11:AH17" sheet="WORKING PAPER FC1"/>
  </cacheSource>
  <cacheFields count="2">
    <cacheField name="MDS CHECK DJ" numFmtId="0">
      <sharedItems containsSemiMixedTypes="0" containsString="0" containsNumber="1" containsInteger="1" minValue="5010299014" maxValue="5021499000" count="4">
        <n v="5010299014"/>
        <n v="5020201000"/>
        <n v="5021499000"/>
        <n v="5021304000"/>
      </sharedItems>
    </cacheField>
    <cacheField name="-871,078.46 " numFmtId="43">
      <sharedItems containsSemiMixedTypes="0" containsString="0" containsNumber="1" minValue="-480000" maxValue="-23628.3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4.xml><?xml version="1.0" encoding="utf-8"?>
<pivotCacheDefinition xmlns="http://schemas.openxmlformats.org/spreadsheetml/2006/main" xmlns:r="http://schemas.openxmlformats.org/officeDocument/2006/relationships" r:id="rId1" refreshedBy="Valene G. Miñoza" refreshedDate="45447.613892592592" createdVersion="5" refreshedVersion="5" minRefreshableVersion="3" recordCount="7">
  <cacheSource type="worksheet">
    <worksheetSource ref="AG19:AH26" sheet="WORKING PAPER FC1"/>
  </cacheSource>
  <cacheFields count="2">
    <cacheField name="GOP CHECK DJ" numFmtId="0">
      <sharedItems containsSemiMixedTypes="0" containsString="0" containsNumber="1" containsInteger="1" minValue="5020201000" maxValue="5029905001" count="6">
        <n v="5021202000"/>
        <n v="5020301000"/>
        <n v="5029905001"/>
        <n v="5020201000"/>
        <n v="5029902000"/>
        <n v="5020322000"/>
      </sharedItems>
    </cacheField>
    <cacheField name="-695,938.21 " numFmtId="43">
      <sharedItems containsSemiMixedTypes="0" containsString="0" containsNumber="1" minValue="-343400" maxValue="-6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5.xml><?xml version="1.0" encoding="utf-8"?>
<pivotCacheDefinition xmlns="http://schemas.openxmlformats.org/spreadsheetml/2006/main" xmlns:r="http://schemas.openxmlformats.org/officeDocument/2006/relationships" r:id="rId1" refreshedBy="Valene G. Miñoza" refreshedDate="45474.608262152775" createdVersion="5" refreshedVersion="5" minRefreshableVersion="3" recordCount="22">
  <cacheSource type="worksheet">
    <worksheetSource ref="AN11:AO33" sheet="WORKING PAPER FC1"/>
  </cacheSource>
  <cacheFields count="2">
    <cacheField name="MDS CHECK ADAD DJ " numFmtId="0">
      <sharedItems containsSemiMixedTypes="0" containsString="0" containsNumber="1" containsInteger="1" minValue="5010101001" maxValue="5021499000" count="6">
        <n v="5010101001"/>
        <n v="5020301000"/>
        <n v="5021499000"/>
        <n v="5020308000"/>
        <n v="5020201000"/>
        <n v="5021199000"/>
      </sharedItems>
    </cacheField>
    <cacheField name="-5,408,065.55 " numFmtId="43">
      <sharedItems containsSemiMixedTypes="0" containsString="0" containsNumber="1" minValue="-1861400" maxValue="2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Valene G. Miñoza" refreshedDate="45364.437188194446" createdVersion="5" refreshedVersion="5" minRefreshableVersion="3" recordCount="42">
  <cacheSource type="worksheet">
    <worksheetSource ref="A42:B84" sheet="WORKING PAPER FC1"/>
  </cacheSource>
  <cacheFields count="2">
    <cacheField name="GOP CHECK DJ" numFmtId="0">
      <sharedItems containsSemiMixedTypes="0" containsString="0" containsNumber="1" containsInteger="1" minValue="5010102000" maxValue="5021601000" count="6">
        <n v="5020401000"/>
        <n v="5010102000"/>
        <n v="5010302001"/>
        <n v="5021199000"/>
        <n v="5021203000"/>
        <n v="5021601000"/>
      </sharedItems>
    </cacheField>
    <cacheField name="-783,135.31 " numFmtId="43">
      <sharedItems containsSemiMixedTypes="0" containsString="0" containsNumber="1" minValue="-318902.94" maxValue="9774.3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Valene G. Miñoza" refreshedDate="45364.450366435187" createdVersion="5" refreshedVersion="5" minRefreshableVersion="3" recordCount="18">
  <cacheSource type="worksheet">
    <worksheetSource ref="A87:B105" sheet="WORKING PAPER FC1"/>
  </cacheSource>
  <cacheFields count="2">
    <cacheField name="KYRA" numFmtId="0">
      <sharedItems containsSemiMixedTypes="0" containsString="0" containsNumber="1" containsInteger="1" minValue="2020" maxValue="5020399000" count="7">
        <n v="5020399000"/>
        <n v="5020305000"/>
        <n v="2020"/>
        <n v="1040405000"/>
        <n v="1040499000"/>
        <n v="1040401000"/>
        <n v="1040406000"/>
      </sharedItems>
    </cacheField>
    <cacheField name="-3,564,509.92 " numFmtId="43">
      <sharedItems containsSemiMixedTypes="0" containsString="0" containsNumber="1" minValue="-1218777.3" maxValue="49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Valene G. Miñoza" refreshedDate="45364.476702546293" createdVersion="5" refreshedVersion="5" minRefreshableVersion="3" recordCount="33">
  <cacheSource type="worksheet">
    <worksheetSource ref="F9:G42" sheet="WORKING PAPER FC1"/>
  </cacheSource>
  <cacheFields count="2">
    <cacheField name="MDS CHECK DJ" numFmtId="0">
      <sharedItems containsSemiMixedTypes="0" containsString="0" containsNumber="1" containsInteger="1" minValue="5010101001" maxValue="5029999099" count="11">
        <n v="5021199000"/>
        <n v="5021499000"/>
        <n v="5021305003"/>
        <n v="5021203000"/>
        <n v="5020101000"/>
        <n v="5020402000"/>
        <n v="5029999099"/>
        <n v="5020301000"/>
        <n v="5020399000"/>
        <n v="5010102000"/>
        <n v="5010101001"/>
      </sharedItems>
    </cacheField>
    <cacheField name="-2,361,246.75 " numFmtId="43">
      <sharedItems containsSemiMixedTypes="0" containsString="0" containsNumber="1" minValue="-528936" maxValue="32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edBy="Valene G. Miñoza" refreshedDate="45364.478157407408" createdVersion="5" refreshedVersion="5" minRefreshableVersion="3" recordCount="26">
  <cacheSource type="worksheet">
    <worksheetSource ref="F44:G70" sheet="WORKING PAPER FC1"/>
  </cacheSource>
  <cacheFields count="2">
    <cacheField name="GOP CHECK DJ" numFmtId="0">
      <sharedItems containsSemiMixedTypes="0" containsString="0" containsNumber="1" containsInteger="1" minValue="5010102000" maxValue="5021203000" count="6">
        <n v="5021199000"/>
        <n v="5010102000"/>
        <n v="5010299011"/>
        <n v="5010299014"/>
        <n v="5010499099"/>
        <n v="5021203000"/>
      </sharedItems>
    </cacheField>
    <cacheField name="-956,139.58 " numFmtId="43">
      <sharedItems containsSemiMixedTypes="0" containsString="0" containsNumber="1" minValue="-537349.92000000004" maxValue="16662.3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edBy="Valene G. Miñoza" refreshedDate="45364.488976620371" createdVersion="5" refreshedVersion="5" minRefreshableVersion="3" recordCount="5">
  <cacheSource type="worksheet">
    <worksheetSource ref="F73:G78" sheet="WORKING PAPER FC1"/>
  </cacheSource>
  <cacheFields count="2">
    <cacheField name="KYRA" numFmtId="0">
      <sharedItems containsSemiMixedTypes="0" containsString="0" containsNumber="1" containsInteger="1" minValue="1040401000" maxValue="1040499000" count="3">
        <n v="1040499000"/>
        <n v="1040401000"/>
        <n v="1040407000"/>
      </sharedItems>
    </cacheField>
    <cacheField name="-2,580,493.27 " numFmtId="43">
      <sharedItems containsSemiMixedTypes="0" containsString="0" containsNumber="1" minValue="-2528738.27" maxValue="2000" count="5">
        <n v="-2000"/>
        <n v="2000"/>
        <n v="-2528738.27"/>
        <n v="-48185"/>
        <n v="-357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edBy="Valene G. Miñoza" refreshedDate="45364.490224768517" createdVersion="5" refreshedVersion="5" minRefreshableVersion="3" recordCount="5">
  <cacheSource type="worksheet">
    <worksheetSource ref="F81:G86" sheet="WORKING PAPER FC1"/>
  </cacheSource>
  <cacheFields count="2">
    <cacheField name="GENNY" numFmtId="0">
      <sharedItems containsSemiMixedTypes="0" containsString="0" containsNumber="1" containsInteger="1" minValue="1040502000" maxValue="1040601000" count="5">
        <n v="1040502000"/>
        <n v="1040503000"/>
        <n v="1040510000"/>
        <n v="1040599000"/>
        <n v="1040601000"/>
      </sharedItems>
    </cacheField>
    <cacheField name="-2,139,728.45 " numFmtId="43">
      <sharedItems containsSemiMixedTypes="0" containsString="0" containsNumber="1" minValue="-1023250.45" maxValue="-5157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r:id="rId1" refreshedBy="Valene G. Miñoza" refreshedDate="45386.435773379628" createdVersion="5" refreshedVersion="5" minRefreshableVersion="3" recordCount="85">
  <cacheSource type="worksheet">
    <worksheetSource ref="K10:L95" sheet="WORKING PAPER FC1"/>
  </cacheSource>
  <cacheFields count="2">
    <cacheField name="MDS CHECK DJ" numFmtId="0">
      <sharedItems containsSemiMixedTypes="0" containsString="0" containsNumber="1" containsInteger="1" minValue="5010101001" maxValue="5029999099" count="10">
        <n v="5021199000"/>
        <n v="5020101000"/>
        <n v="5021499000"/>
        <n v="5020502001"/>
        <n v="5029999099"/>
        <n v="5020201000"/>
        <n v="5020399000"/>
        <n v="5029903000"/>
        <n v="5020307000"/>
        <n v="5010101001"/>
      </sharedItems>
    </cacheField>
    <cacheField name="-6,252,875.05 " numFmtId="43">
      <sharedItems containsSemiMixedTypes="0" containsString="0" containsNumber="1" minValue="-1404000" maxValue="5522.7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r:id="rId1" refreshedBy="Valene G. Miñoza" refreshedDate="45386.466868171294" createdVersion="5" refreshedVersion="5" minRefreshableVersion="3" recordCount="11">
  <cacheSource type="worksheet">
    <worksheetSource ref="K101:L112" sheet="WORKING PAPER FC1"/>
  </cacheSource>
  <cacheFields count="2">
    <cacheField name="GJ " numFmtId="0">
      <sharedItems containsSemiMixedTypes="0" containsString="0" containsNumber="1" containsInteger="1" minValue="5010101001" maxValue="5020399000" count="9">
        <n v="5010101001"/>
        <n v="5020307000"/>
        <n v="5020305000"/>
        <n v="5020308000"/>
        <n v="5020399000"/>
        <n v="5020322001"/>
        <n v="5020321003"/>
        <n v="5020321002"/>
        <n v="5020321099"/>
      </sharedItems>
    </cacheField>
    <cacheField name=" 10,965,887.49 " numFmtId="43">
      <sharedItems containsSemiMixedTypes="0" containsString="0" containsNumber="1" minValue="13200" maxValue="6919225.279999999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">
  <r>
    <x v="0"/>
    <n v="-8332.5400000000009"/>
  </r>
  <r>
    <x v="0"/>
    <n v="-8336.64"/>
  </r>
  <r>
    <x v="0"/>
    <n v="-4960.8"/>
  </r>
  <r>
    <x v="0"/>
    <n v="-27007.38"/>
  </r>
  <r>
    <x v="1"/>
    <n v="-8974.5499999999993"/>
  </r>
  <r>
    <x v="1"/>
    <n v="-4527.53"/>
  </r>
  <r>
    <x v="1"/>
    <n v="-1282.26"/>
  </r>
  <r>
    <x v="1"/>
    <n v="-396.56"/>
  </r>
  <r>
    <x v="1"/>
    <n v="-6094.31"/>
  </r>
  <r>
    <x v="1"/>
    <n v="-2881.42"/>
  </r>
  <r>
    <x v="1"/>
    <n v="-5784.63"/>
  </r>
  <r>
    <x v="1"/>
    <n v="-4247.7299999999996"/>
  </r>
  <r>
    <x v="1"/>
    <n v="-2011.58"/>
  </r>
  <r>
    <x v="1"/>
    <n v="-171.73"/>
  </r>
  <r>
    <x v="2"/>
    <n v="-5396.26"/>
  </r>
  <r>
    <x v="3"/>
    <n v="-11391.63"/>
  </r>
  <r>
    <x v="1"/>
    <n v="-16613.79"/>
  </r>
  <r>
    <x v="1"/>
    <n v="-1008.16"/>
  </r>
  <r>
    <x v="1"/>
    <n v="-5000"/>
  </r>
  <r>
    <x v="1"/>
    <n v="-5000"/>
  </r>
  <r>
    <x v="4"/>
    <n v="-1698.93"/>
  </r>
  <r>
    <x v="2"/>
    <n v="181.8"/>
  </r>
  <r>
    <x v="3"/>
    <n v="2900"/>
  </r>
  <r>
    <x v="1"/>
    <n v="142.66"/>
  </r>
  <r>
    <x v="1"/>
    <n v="250.6"/>
  </r>
  <r>
    <x v="1"/>
    <n v="795.7"/>
  </r>
  <r>
    <x v="1"/>
    <n v="101.25"/>
  </r>
  <r>
    <x v="1"/>
    <n v="844.02"/>
  </r>
  <r>
    <x v="1"/>
    <n v="250.31"/>
  </r>
  <r>
    <x v="1"/>
    <n v="681.53"/>
  </r>
</pivotCacheRecords>
</file>

<file path=xl/pivotCache/pivotCacheRecords10.xml><?xml version="1.0" encoding="utf-8"?>
<pivotCacheRecords xmlns="http://schemas.openxmlformats.org/spreadsheetml/2006/main" xmlns:r="http://schemas.openxmlformats.org/officeDocument/2006/relationships" count="108">
  <r>
    <x v="0"/>
    <n v="-1371.77"/>
  </r>
  <r>
    <x v="1"/>
    <n v="-4000"/>
  </r>
  <r>
    <x v="2"/>
    <n v="-2906.83"/>
  </r>
  <r>
    <x v="1"/>
    <n v="-38608"/>
  </r>
  <r>
    <x v="1"/>
    <n v="-38608"/>
  </r>
  <r>
    <x v="1"/>
    <n v="-24130"/>
  </r>
  <r>
    <x v="1"/>
    <n v="-13609"/>
  </r>
  <r>
    <x v="1"/>
    <n v="-10330"/>
  </r>
  <r>
    <x v="1"/>
    <n v="-8863"/>
  </r>
  <r>
    <x v="1"/>
    <n v="-14105"/>
  </r>
  <r>
    <x v="1"/>
    <n v="-41021"/>
  </r>
  <r>
    <x v="1"/>
    <n v="-59326"/>
  </r>
  <r>
    <x v="1"/>
    <n v="-11329"/>
  </r>
  <r>
    <x v="1"/>
    <n v="-36002"/>
  </r>
  <r>
    <x v="1"/>
    <n v="-27304"/>
  </r>
  <r>
    <x v="1"/>
    <n v="-37406"/>
  </r>
  <r>
    <x v="1"/>
    <n v="-11489"/>
  </r>
  <r>
    <x v="1"/>
    <n v="-20629"/>
  </r>
  <r>
    <x v="1"/>
    <n v="-44069"/>
  </r>
  <r>
    <x v="1"/>
    <n v="-14700"/>
  </r>
  <r>
    <x v="1"/>
    <n v="-1960"/>
  </r>
  <r>
    <x v="1"/>
    <n v="-45092"/>
  </r>
  <r>
    <x v="1"/>
    <n v="-16665"/>
  </r>
  <r>
    <x v="1"/>
    <n v="-28191"/>
  </r>
  <r>
    <x v="1"/>
    <n v="-23644"/>
  </r>
  <r>
    <x v="1"/>
    <n v="-25749"/>
  </r>
  <r>
    <x v="1"/>
    <n v="-19304"/>
  </r>
  <r>
    <x v="1"/>
    <n v="-24130"/>
  </r>
  <r>
    <x v="1"/>
    <n v="-68241"/>
  </r>
  <r>
    <x v="1"/>
    <n v="-1224"/>
  </r>
  <r>
    <x v="1"/>
    <n v="-4400"/>
  </r>
  <r>
    <x v="1"/>
    <n v="-21501"/>
  </r>
  <r>
    <x v="1"/>
    <n v="-24117"/>
  </r>
  <r>
    <x v="1"/>
    <n v="-9652"/>
  </r>
  <r>
    <x v="1"/>
    <n v="-15976"/>
  </r>
  <r>
    <x v="1"/>
    <n v="-17731"/>
  </r>
  <r>
    <x v="1"/>
    <n v="-7239"/>
  </r>
  <r>
    <x v="1"/>
    <n v="-10075"/>
  </r>
  <r>
    <x v="1"/>
    <n v="-17509"/>
  </r>
  <r>
    <x v="1"/>
    <n v="-24644"/>
  </r>
  <r>
    <x v="1"/>
    <n v="-1480"/>
  </r>
  <r>
    <x v="1"/>
    <n v="-24017"/>
  </r>
  <r>
    <x v="1"/>
    <n v="-23784"/>
  </r>
  <r>
    <x v="1"/>
    <n v="-24217"/>
  </r>
  <r>
    <x v="1"/>
    <n v="-24130"/>
  </r>
  <r>
    <x v="1"/>
    <n v="-26543"/>
  </r>
  <r>
    <x v="1"/>
    <n v="-15570"/>
  </r>
  <r>
    <x v="1"/>
    <n v="-28123"/>
  </r>
  <r>
    <x v="1"/>
    <n v="-31369"/>
  </r>
  <r>
    <x v="1"/>
    <n v="-11852"/>
  </r>
  <r>
    <x v="1"/>
    <n v="-4785"/>
  </r>
  <r>
    <x v="1"/>
    <n v="-10363"/>
  </r>
  <r>
    <x v="1"/>
    <n v="-17578"/>
  </r>
  <r>
    <x v="1"/>
    <n v="-22078"/>
  </r>
  <r>
    <x v="1"/>
    <n v="-23191"/>
  </r>
  <r>
    <x v="1"/>
    <n v="-23097"/>
  </r>
  <r>
    <x v="1"/>
    <n v="-23171"/>
  </r>
  <r>
    <x v="1"/>
    <n v="-21531"/>
  </r>
  <r>
    <x v="1"/>
    <n v="-24125"/>
  </r>
  <r>
    <x v="3"/>
    <n v="-15000"/>
  </r>
  <r>
    <x v="4"/>
    <n v="-6336000"/>
  </r>
  <r>
    <x v="1"/>
    <n v="-6200"/>
  </r>
  <r>
    <x v="1"/>
    <n v="-724"/>
  </r>
  <r>
    <x v="1"/>
    <n v="-12905"/>
  </r>
  <r>
    <x v="1"/>
    <n v="-50221"/>
  </r>
  <r>
    <x v="1"/>
    <n v="-29363"/>
  </r>
  <r>
    <x v="1"/>
    <n v="-2413"/>
  </r>
  <r>
    <x v="1"/>
    <n v="-6101"/>
  </r>
  <r>
    <x v="1"/>
    <n v="-18465"/>
  </r>
  <r>
    <x v="1"/>
    <n v="-13065"/>
  </r>
  <r>
    <x v="1"/>
    <n v="-41182"/>
  </r>
  <r>
    <x v="1"/>
    <n v="-33782"/>
  </r>
  <r>
    <x v="1"/>
    <n v="-20365"/>
  </r>
  <r>
    <x v="1"/>
    <n v="-6793"/>
  </r>
  <r>
    <x v="1"/>
    <n v="-5390"/>
  </r>
  <r>
    <x v="1"/>
    <n v="-21811"/>
  </r>
  <r>
    <x v="1"/>
    <n v="-22612"/>
  </r>
  <r>
    <x v="1"/>
    <n v="-25470"/>
  </r>
  <r>
    <x v="1"/>
    <n v="-23817"/>
  </r>
  <r>
    <x v="1"/>
    <n v="-24130"/>
  </r>
  <r>
    <x v="1"/>
    <n v="-25830"/>
  </r>
  <r>
    <x v="1"/>
    <n v="-23757"/>
  </r>
  <r>
    <x v="1"/>
    <n v="-29410"/>
  </r>
  <r>
    <x v="1"/>
    <n v="-25024"/>
  </r>
  <r>
    <x v="1"/>
    <n v="-23165"/>
  </r>
  <r>
    <x v="1"/>
    <n v="-23627"/>
  </r>
  <r>
    <x v="1"/>
    <n v="-31369"/>
  </r>
  <r>
    <x v="1"/>
    <n v="-31369"/>
  </r>
  <r>
    <x v="1"/>
    <n v="-33349"/>
  </r>
  <r>
    <x v="1"/>
    <n v="-35283"/>
  </r>
  <r>
    <x v="1"/>
    <n v="-40142"/>
  </r>
  <r>
    <x v="1"/>
    <n v="-24130"/>
  </r>
  <r>
    <x v="1"/>
    <n v="-21231"/>
  </r>
  <r>
    <x v="5"/>
    <n v="-16000"/>
  </r>
  <r>
    <x v="5"/>
    <n v="-20000"/>
  </r>
  <r>
    <x v="5"/>
    <n v="-15000"/>
  </r>
  <r>
    <x v="6"/>
    <n v="-84000"/>
  </r>
  <r>
    <x v="6"/>
    <n v="-48000"/>
  </r>
  <r>
    <x v="7"/>
    <n v="-21485"/>
  </r>
  <r>
    <x v="4"/>
    <n v="-6692.5"/>
  </r>
  <r>
    <x v="1"/>
    <n v="-4826"/>
  </r>
  <r>
    <x v="1"/>
    <n v="-50310"/>
  </r>
  <r>
    <x v="1"/>
    <n v="-15560"/>
  </r>
  <r>
    <x v="1"/>
    <n v="-16244"/>
  </r>
  <r>
    <x v="1"/>
    <n v="-84490"/>
  </r>
  <r>
    <x v="1"/>
    <n v="-11700"/>
  </r>
  <r>
    <x v="1"/>
    <n v="-1300"/>
  </r>
  <r>
    <x v="8"/>
    <n v="-90396"/>
  </r>
</pivotCacheRecords>
</file>

<file path=xl/pivotCache/pivotCacheRecords11.xml><?xml version="1.0" encoding="utf-8"?>
<pivotCacheRecords xmlns="http://schemas.openxmlformats.org/spreadsheetml/2006/main" xmlns:r="http://schemas.openxmlformats.org/officeDocument/2006/relationships" count="90">
  <r>
    <x v="0"/>
    <n v="214.98"/>
  </r>
  <r>
    <x v="1"/>
    <n v="2900"/>
  </r>
  <r>
    <x v="2"/>
    <n v="-156000"/>
  </r>
  <r>
    <x v="3"/>
    <n v="-78525"/>
  </r>
  <r>
    <x v="4"/>
    <n v="-168000"/>
  </r>
  <r>
    <x v="0"/>
    <n v="-3329"/>
  </r>
  <r>
    <x v="0"/>
    <n v="-16645"/>
  </r>
  <r>
    <x v="2"/>
    <n v="-50000"/>
  </r>
  <r>
    <x v="5"/>
    <n v="-25800"/>
  </r>
  <r>
    <x v="4"/>
    <n v="-7200"/>
  </r>
  <r>
    <x v="3"/>
    <n v="-450000"/>
  </r>
  <r>
    <x v="5"/>
    <n v="-7694.72"/>
  </r>
  <r>
    <x v="3"/>
    <n v="-13600"/>
  </r>
  <r>
    <x v="6"/>
    <n v="-91996"/>
  </r>
  <r>
    <x v="3"/>
    <n v="-11200"/>
  </r>
  <r>
    <x v="7"/>
    <n v="-54900"/>
  </r>
  <r>
    <x v="8"/>
    <n v="-6000"/>
  </r>
  <r>
    <x v="3"/>
    <n v="-9600"/>
  </r>
  <r>
    <x v="3"/>
    <n v="-16850.560000000001"/>
  </r>
  <r>
    <x v="3"/>
    <n v="-360000"/>
  </r>
  <r>
    <x v="3"/>
    <n v="-160000"/>
  </r>
  <r>
    <x v="2"/>
    <n v="-63000"/>
  </r>
  <r>
    <x v="3"/>
    <n v="-240000"/>
  </r>
  <r>
    <x v="7"/>
    <n v="-200000"/>
  </r>
  <r>
    <x v="4"/>
    <n v="-30000"/>
  </r>
  <r>
    <x v="4"/>
    <n v="-93000"/>
  </r>
  <r>
    <x v="3"/>
    <n v="-85500"/>
  </r>
  <r>
    <x v="2"/>
    <n v="-42000"/>
  </r>
  <r>
    <x v="2"/>
    <n v="-48000"/>
  </r>
  <r>
    <x v="3"/>
    <n v="-24000"/>
  </r>
  <r>
    <x v="3"/>
    <n v="-24000"/>
  </r>
  <r>
    <x v="4"/>
    <n v="-18900"/>
  </r>
  <r>
    <x v="4"/>
    <n v="-28000"/>
  </r>
  <r>
    <x v="9"/>
    <n v="-5000"/>
  </r>
  <r>
    <x v="3"/>
    <n v="-29940"/>
  </r>
  <r>
    <x v="2"/>
    <n v="-1422000"/>
  </r>
  <r>
    <x v="5"/>
    <n v="-79500"/>
  </r>
  <r>
    <x v="10"/>
    <n v="-13579"/>
  </r>
  <r>
    <x v="10"/>
    <n v="-12153.5"/>
  </r>
  <r>
    <x v="10"/>
    <n v="-4369"/>
  </r>
  <r>
    <x v="4"/>
    <n v="-114000"/>
  </r>
  <r>
    <x v="0"/>
    <n v="-5000"/>
  </r>
  <r>
    <x v="2"/>
    <n v="-12000"/>
  </r>
  <r>
    <x v="2"/>
    <n v="-1605000"/>
  </r>
  <r>
    <x v="2"/>
    <n v="-130700"/>
  </r>
  <r>
    <x v="2"/>
    <n v="-145000"/>
  </r>
  <r>
    <x v="2"/>
    <n v="-60000"/>
  </r>
  <r>
    <x v="2"/>
    <n v="-112400"/>
  </r>
  <r>
    <x v="2"/>
    <n v="-100000"/>
  </r>
  <r>
    <x v="2"/>
    <n v="-228462.22"/>
  </r>
  <r>
    <x v="2"/>
    <n v="-770472.28"/>
  </r>
  <r>
    <x v="2"/>
    <n v="-304480.52"/>
  </r>
  <r>
    <x v="2"/>
    <n v="-174405.8"/>
  </r>
  <r>
    <x v="2"/>
    <n v="-720000"/>
  </r>
  <r>
    <x v="2"/>
    <n v="-30000"/>
  </r>
  <r>
    <x v="2"/>
    <n v="-10000"/>
  </r>
  <r>
    <x v="2"/>
    <n v="-428500.95"/>
  </r>
  <r>
    <x v="4"/>
    <n v="-12000"/>
  </r>
  <r>
    <x v="4"/>
    <n v="-110000"/>
  </r>
  <r>
    <x v="3"/>
    <n v="-193050"/>
  </r>
  <r>
    <x v="11"/>
    <n v="-34094"/>
  </r>
  <r>
    <x v="12"/>
    <n v="-91300"/>
  </r>
  <r>
    <x v="7"/>
    <n v="-4998"/>
  </r>
  <r>
    <x v="2"/>
    <n v="-25000"/>
  </r>
  <r>
    <x v="2"/>
    <n v="-150000"/>
  </r>
  <r>
    <x v="2"/>
    <n v="-33000"/>
  </r>
  <r>
    <x v="2"/>
    <n v="-40000"/>
  </r>
  <r>
    <x v="2"/>
    <n v="-100000"/>
  </r>
  <r>
    <x v="2"/>
    <n v="-242000"/>
  </r>
  <r>
    <x v="2"/>
    <n v="-256000"/>
  </r>
  <r>
    <x v="2"/>
    <n v="-5000"/>
  </r>
  <r>
    <x v="13"/>
    <n v="-42276"/>
  </r>
  <r>
    <x v="14"/>
    <n v="-599888"/>
  </r>
  <r>
    <x v="2"/>
    <n v="-2075700"/>
  </r>
  <r>
    <x v="2"/>
    <n v="-3146000"/>
  </r>
  <r>
    <x v="15"/>
    <n v="-9500"/>
  </r>
  <r>
    <x v="2"/>
    <n v="-165000"/>
  </r>
  <r>
    <x v="13"/>
    <n v="265000"/>
  </r>
  <r>
    <x v="16"/>
    <n v="-26990"/>
  </r>
  <r>
    <x v="17"/>
    <n v="-950000"/>
  </r>
  <r>
    <x v="18"/>
    <n v="-170750"/>
  </r>
  <r>
    <x v="4"/>
    <n v="-105000"/>
  </r>
  <r>
    <x v="4"/>
    <n v="-30000"/>
  </r>
  <r>
    <x v="4"/>
    <n v="-140000"/>
  </r>
  <r>
    <x v="13"/>
    <n v="-7500"/>
  </r>
  <r>
    <x v="7"/>
    <n v="-7500"/>
  </r>
  <r>
    <x v="13"/>
    <n v="-6000"/>
  </r>
  <r>
    <x v="7"/>
    <n v="-15600"/>
  </r>
  <r>
    <x v="16"/>
    <n v="-1675"/>
  </r>
  <r>
    <x v="16"/>
    <n v="-11245"/>
  </r>
</pivotCacheRecords>
</file>

<file path=xl/pivotCache/pivotCacheRecords12.xml><?xml version="1.0" encoding="utf-8"?>
<pivotCacheRecords xmlns="http://schemas.openxmlformats.org/spreadsheetml/2006/main" xmlns:r="http://schemas.openxmlformats.org/officeDocument/2006/relationships" count="10">
  <r>
    <x v="0"/>
    <n v="-2006961.78"/>
  </r>
  <r>
    <x v="1"/>
    <n v="-502847.38400000002"/>
  </r>
  <r>
    <x v="0"/>
    <n v="-3306911.22"/>
  </r>
  <r>
    <x v="2"/>
    <n v="-155946"/>
  </r>
  <r>
    <x v="3"/>
    <n v="-102567"/>
  </r>
  <r>
    <x v="4"/>
    <n v="-128315.97"/>
  </r>
  <r>
    <x v="5"/>
    <n v="-22557"/>
  </r>
  <r>
    <x v="6"/>
    <n v="-59670"/>
  </r>
  <r>
    <x v="7"/>
    <n v="-53313"/>
  </r>
  <r>
    <x v="8"/>
    <n v="-56300"/>
  </r>
</pivotCacheRecords>
</file>

<file path=xl/pivotCache/pivotCacheRecords13.xml><?xml version="1.0" encoding="utf-8"?>
<pivotCacheRecords xmlns="http://schemas.openxmlformats.org/spreadsheetml/2006/main" xmlns:r="http://schemas.openxmlformats.org/officeDocument/2006/relationships" count="6">
  <r>
    <x v="0"/>
    <n v="-23628.39"/>
  </r>
  <r>
    <x v="1"/>
    <n v="-146250.07"/>
  </r>
  <r>
    <x v="1"/>
    <n v="-480000"/>
  </r>
  <r>
    <x v="2"/>
    <n v="-103000"/>
  </r>
  <r>
    <x v="3"/>
    <n v="-94200"/>
  </r>
  <r>
    <x v="1"/>
    <n v="-24000"/>
  </r>
</pivotCacheRecords>
</file>

<file path=xl/pivotCache/pivotCacheRecords14.xml><?xml version="1.0" encoding="utf-8"?>
<pivotCacheRecords xmlns="http://schemas.openxmlformats.org/spreadsheetml/2006/main" xmlns:r="http://schemas.openxmlformats.org/officeDocument/2006/relationships" count="7">
  <r>
    <x v="0"/>
    <n v="-115540.15"/>
  </r>
  <r>
    <x v="1"/>
    <n v="-6750"/>
  </r>
  <r>
    <x v="2"/>
    <n v="-6000"/>
  </r>
  <r>
    <x v="3"/>
    <n v="-106000"/>
  </r>
  <r>
    <x v="4"/>
    <n v="-9800"/>
  </r>
  <r>
    <x v="5"/>
    <n v="-343400"/>
  </r>
  <r>
    <x v="0"/>
    <n v="-108448.06"/>
  </r>
</pivotCacheRecords>
</file>

<file path=xl/pivotCache/pivotCacheRecords15.xml><?xml version="1.0" encoding="utf-8"?>
<pivotCacheRecords xmlns="http://schemas.openxmlformats.org/spreadsheetml/2006/main" xmlns:r="http://schemas.openxmlformats.org/officeDocument/2006/relationships" count="22">
  <r>
    <x v="0"/>
    <n v="2900"/>
  </r>
  <r>
    <x v="1"/>
    <n v="-373.44"/>
  </r>
  <r>
    <x v="2"/>
    <n v="-100000"/>
  </r>
  <r>
    <x v="2"/>
    <n v="-1861400"/>
  </r>
  <r>
    <x v="3"/>
    <n v="-14240"/>
  </r>
  <r>
    <x v="4"/>
    <n v="-150500"/>
  </r>
  <r>
    <x v="4"/>
    <n v="-107800"/>
  </r>
  <r>
    <x v="4"/>
    <n v="-400000"/>
  </r>
  <r>
    <x v="4"/>
    <n v="-67600"/>
  </r>
  <r>
    <x v="4"/>
    <n v="-184000"/>
  </r>
  <r>
    <x v="4"/>
    <n v="-240000"/>
  </r>
  <r>
    <x v="4"/>
    <n v="-100100"/>
  </r>
  <r>
    <x v="4"/>
    <n v="-132660"/>
  </r>
  <r>
    <x v="5"/>
    <n v="-17292.11"/>
  </r>
  <r>
    <x v="2"/>
    <n v="-300000"/>
  </r>
  <r>
    <x v="2"/>
    <n v="-135000"/>
  </r>
  <r>
    <x v="2"/>
    <n v="-300000"/>
  </r>
  <r>
    <x v="2"/>
    <n v="-300000"/>
  </r>
  <r>
    <x v="2"/>
    <n v="-300000"/>
  </r>
  <r>
    <x v="2"/>
    <n v="-300000"/>
  </r>
  <r>
    <x v="2"/>
    <n v="-300000"/>
  </r>
  <r>
    <x v="2"/>
    <n v="-1000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2">
  <r>
    <x v="0"/>
    <n v="-2000"/>
  </r>
  <r>
    <x v="1"/>
    <n v="-100"/>
  </r>
  <r>
    <x v="1"/>
    <n v="-200"/>
  </r>
  <r>
    <x v="1"/>
    <n v="-100"/>
  </r>
  <r>
    <x v="1"/>
    <n v="-100"/>
  </r>
  <r>
    <x v="1"/>
    <n v="-100"/>
  </r>
  <r>
    <x v="1"/>
    <n v="-80600"/>
  </r>
  <r>
    <x v="2"/>
    <n v="-10100"/>
  </r>
  <r>
    <x v="2"/>
    <n v="-2600"/>
  </r>
  <r>
    <x v="1"/>
    <n v="-300"/>
  </r>
  <r>
    <x v="1"/>
    <n v="-100"/>
  </r>
  <r>
    <x v="1"/>
    <n v="-2500"/>
  </r>
  <r>
    <x v="1"/>
    <n v="-200"/>
  </r>
  <r>
    <x v="1"/>
    <n v="-4700"/>
  </r>
  <r>
    <x v="1"/>
    <n v="-600"/>
  </r>
  <r>
    <x v="1"/>
    <n v="-100"/>
  </r>
  <r>
    <x v="1"/>
    <n v="-700"/>
  </r>
  <r>
    <x v="1"/>
    <n v="-100"/>
  </r>
  <r>
    <x v="1"/>
    <n v="-100"/>
  </r>
  <r>
    <x v="1"/>
    <n v="-36619"/>
  </r>
  <r>
    <x v="1"/>
    <n v="-14547.44"/>
  </r>
  <r>
    <x v="1"/>
    <n v="-12275.43"/>
  </r>
  <r>
    <x v="1"/>
    <n v="-2693.27"/>
  </r>
  <r>
    <x v="1"/>
    <n v="-2469.2800000000002"/>
  </r>
  <r>
    <x v="1"/>
    <n v="-2317.5100000000002"/>
  </r>
  <r>
    <x v="1"/>
    <n v="-2469.2800000000002"/>
  </r>
  <r>
    <x v="0"/>
    <n v="-200"/>
  </r>
  <r>
    <x v="0"/>
    <n v="-200"/>
  </r>
  <r>
    <x v="1"/>
    <n v="-8099.85"/>
  </r>
  <r>
    <x v="3"/>
    <n v="-33290"/>
  </r>
  <r>
    <x v="3"/>
    <n v="-14668.25"/>
  </r>
  <r>
    <x v="1"/>
    <n v="-4494.28"/>
  </r>
  <r>
    <x v="1"/>
    <n v="-2756.1"/>
  </r>
  <r>
    <x v="1"/>
    <n v="-11226.689999999999"/>
  </r>
  <r>
    <x v="4"/>
    <n v="-105598.36"/>
  </r>
  <r>
    <x v="4"/>
    <n v="-107777.82"/>
  </r>
  <r>
    <x v="4"/>
    <n v="-318902.94"/>
  </r>
  <r>
    <x v="1"/>
    <n v="-9539.3700000000008"/>
  </r>
  <r>
    <x v="1"/>
    <n v="-86.56000000000131"/>
  </r>
  <r>
    <x v="1"/>
    <n v="500"/>
  </r>
  <r>
    <x v="5"/>
    <n v="9774.39"/>
  </r>
  <r>
    <x v="3"/>
    <n v="2121.73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8">
  <r>
    <x v="0"/>
    <n v="42982"/>
  </r>
  <r>
    <x v="1"/>
    <n v="14598"/>
  </r>
  <r>
    <x v="2"/>
    <n v="490000"/>
  </r>
  <r>
    <x v="3"/>
    <n v="-546845.22"/>
  </r>
  <r>
    <x v="4"/>
    <n v="-249993.45"/>
  </r>
  <r>
    <x v="5"/>
    <n v="-1218777.3"/>
  </r>
  <r>
    <x v="4"/>
    <n v="-78525"/>
  </r>
  <r>
    <x v="6"/>
    <n v="-172441.85"/>
  </r>
  <r>
    <x v="3"/>
    <n v="-414311.61"/>
  </r>
  <r>
    <x v="4"/>
    <n v="-178082.28"/>
  </r>
  <r>
    <x v="5"/>
    <n v="-451301.5"/>
  </r>
  <r>
    <x v="4"/>
    <n v="-2800"/>
  </r>
  <r>
    <x v="4"/>
    <n v="-108990.8"/>
  </r>
  <r>
    <x v="6"/>
    <n v="-71582.91"/>
  </r>
  <r>
    <x v="5"/>
    <n v="-514423"/>
  </r>
  <r>
    <x v="4"/>
    <n v="-46435"/>
  </r>
  <r>
    <x v="4"/>
    <n v="-42982"/>
  </r>
  <r>
    <x v="3"/>
    <n v="-14598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33">
  <r>
    <x v="0"/>
    <n v="-3510.48"/>
  </r>
  <r>
    <x v="0"/>
    <n v="-33290"/>
  </r>
  <r>
    <x v="1"/>
    <n v="-197716.24"/>
  </r>
  <r>
    <x v="1"/>
    <n v="-2349"/>
  </r>
  <r>
    <x v="1"/>
    <n v="-297364.39"/>
  </r>
  <r>
    <x v="1"/>
    <n v="-397533.75"/>
  </r>
  <r>
    <x v="1"/>
    <n v="-214996.75"/>
  </r>
  <r>
    <x v="1"/>
    <n v="-12061.5"/>
  </r>
  <r>
    <x v="1"/>
    <n v="-80113.33"/>
  </r>
  <r>
    <x v="1"/>
    <n v="-67870.600000000006"/>
  </r>
  <r>
    <x v="2"/>
    <n v="-94750"/>
  </r>
  <r>
    <x v="3"/>
    <n v="-528936"/>
  </r>
  <r>
    <x v="0"/>
    <n v="-36073.699999999997"/>
  </r>
  <r>
    <x v="0"/>
    <n v="-3240"/>
  </r>
  <r>
    <x v="4"/>
    <n v="-27100"/>
  </r>
  <r>
    <x v="0"/>
    <n v="-6111.9"/>
  </r>
  <r>
    <x v="5"/>
    <n v="-6731.24"/>
  </r>
  <r>
    <x v="0"/>
    <n v="-1013.95"/>
  </r>
  <r>
    <x v="0"/>
    <n v="-3464.36"/>
  </r>
  <r>
    <x v="6"/>
    <n v="-3051.93"/>
  </r>
  <r>
    <x v="7"/>
    <n v="-10232.76"/>
  </r>
  <r>
    <x v="7"/>
    <n v="-63600"/>
  </r>
  <r>
    <x v="7"/>
    <n v="-75714.28"/>
  </r>
  <r>
    <x v="7"/>
    <n v="-133414.14000000001"/>
  </r>
  <r>
    <x v="8"/>
    <n v="-8353.17"/>
  </r>
  <r>
    <x v="7"/>
    <n v="-17035.72"/>
  </r>
  <r>
    <x v="9"/>
    <n v="-14930.3"/>
  </r>
  <r>
    <x v="6"/>
    <n v="-24379"/>
  </r>
  <r>
    <x v="9"/>
    <n v="-789.76"/>
  </r>
  <r>
    <x v="9"/>
    <n v="-4818.5"/>
  </r>
  <r>
    <x v="9"/>
    <n v="3200"/>
  </r>
  <r>
    <x v="10"/>
    <n v="2900"/>
  </r>
  <r>
    <x v="9"/>
    <n v="3200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26">
  <r>
    <x v="0"/>
    <n v="16662.34"/>
  </r>
  <r>
    <x v="1"/>
    <n v="-114334.86"/>
  </r>
  <r>
    <x v="1"/>
    <n v="-5000"/>
  </r>
  <r>
    <x v="2"/>
    <n v="-500"/>
  </r>
  <r>
    <x v="1"/>
    <n v="-1000"/>
  </r>
  <r>
    <x v="1"/>
    <n v="-5000"/>
  </r>
  <r>
    <x v="2"/>
    <n v="-29650"/>
  </r>
  <r>
    <x v="2"/>
    <n v="-25614.29"/>
  </r>
  <r>
    <x v="0"/>
    <n v="-11045.45"/>
  </r>
  <r>
    <x v="3"/>
    <n v="-6049.01"/>
  </r>
  <r>
    <x v="1"/>
    <n v="-1710.77"/>
  </r>
  <r>
    <x v="1"/>
    <n v="-25500.21"/>
  </r>
  <r>
    <x v="1"/>
    <n v="-3179.28"/>
  </r>
  <r>
    <x v="1"/>
    <n v="-2368.02"/>
  </r>
  <r>
    <x v="1"/>
    <n v="-11660"/>
  </r>
  <r>
    <x v="1"/>
    <n v="-26151.62"/>
  </r>
  <r>
    <x v="1"/>
    <n v="-10000"/>
  </r>
  <r>
    <x v="1"/>
    <n v="-700"/>
  </r>
  <r>
    <x v="2"/>
    <n v="-60000"/>
  </r>
  <r>
    <x v="1"/>
    <n v="-200"/>
  </r>
  <r>
    <x v="1"/>
    <n v="-4938.5600000000004"/>
  </r>
  <r>
    <x v="4"/>
    <n v="-40000"/>
  </r>
  <r>
    <x v="1"/>
    <n v="-14849.93"/>
  </r>
  <r>
    <x v="4"/>
    <n v="-16000"/>
  </r>
  <r>
    <x v="4"/>
    <n v="-20000"/>
  </r>
  <r>
    <x v="5"/>
    <n v="-537349.92000000004"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5">
  <r>
    <x v="0"/>
    <x v="0"/>
  </r>
  <r>
    <x v="0"/>
    <x v="1"/>
  </r>
  <r>
    <x v="1"/>
    <x v="2"/>
  </r>
  <r>
    <x v="2"/>
    <x v="3"/>
  </r>
  <r>
    <x v="0"/>
    <x v="4"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count="5">
  <r>
    <x v="0"/>
    <n v="-169875"/>
  </r>
  <r>
    <x v="1"/>
    <n v="-1023250.45"/>
  </r>
  <r>
    <x v="2"/>
    <n v="-62406"/>
  </r>
  <r>
    <x v="3"/>
    <n v="-51570"/>
  </r>
  <r>
    <x v="4"/>
    <n v="-832627"/>
  </r>
</pivotCacheRecords>
</file>

<file path=xl/pivotCache/pivotCacheRecords8.xml><?xml version="1.0" encoding="utf-8"?>
<pivotCacheRecords xmlns="http://schemas.openxmlformats.org/spreadsheetml/2006/main" xmlns:r="http://schemas.openxmlformats.org/officeDocument/2006/relationships" count="85">
  <r>
    <x v="0"/>
    <n v="-16645"/>
  </r>
  <r>
    <x v="0"/>
    <n v="-5000"/>
  </r>
  <r>
    <x v="1"/>
    <n v="-12050"/>
  </r>
  <r>
    <x v="1"/>
    <n v="-430"/>
  </r>
  <r>
    <x v="1"/>
    <n v="-1371"/>
  </r>
  <r>
    <x v="1"/>
    <n v="-3162"/>
  </r>
  <r>
    <x v="1"/>
    <n v="-2054"/>
  </r>
  <r>
    <x v="1"/>
    <n v="-6746"/>
  </r>
  <r>
    <x v="1"/>
    <n v="-6668"/>
  </r>
  <r>
    <x v="1"/>
    <n v="-3100"/>
  </r>
  <r>
    <x v="0"/>
    <n v="-33848"/>
  </r>
  <r>
    <x v="2"/>
    <n v="-1404000"/>
  </r>
  <r>
    <x v="3"/>
    <n v="-2700"/>
  </r>
  <r>
    <x v="4"/>
    <n v="-83200"/>
  </r>
  <r>
    <x v="5"/>
    <n v="-72000"/>
  </r>
  <r>
    <x v="5"/>
    <n v="-65850"/>
  </r>
  <r>
    <x v="6"/>
    <n v="-5655"/>
  </r>
  <r>
    <x v="4"/>
    <n v="-209600"/>
  </r>
  <r>
    <x v="5"/>
    <n v="-10400"/>
  </r>
  <r>
    <x v="5"/>
    <n v="-129600"/>
  </r>
  <r>
    <x v="2"/>
    <n v="-150000"/>
  </r>
  <r>
    <x v="2"/>
    <n v="-40000"/>
  </r>
  <r>
    <x v="2"/>
    <n v="-729621.5"/>
  </r>
  <r>
    <x v="7"/>
    <n v="-52100"/>
  </r>
  <r>
    <x v="2"/>
    <n v="-90137"/>
  </r>
  <r>
    <x v="7"/>
    <n v="-685"/>
  </r>
  <r>
    <x v="2"/>
    <n v="-104000"/>
  </r>
  <r>
    <x v="8"/>
    <n v="-34"/>
  </r>
  <r>
    <x v="2"/>
    <n v="-970600"/>
  </r>
  <r>
    <x v="2"/>
    <n v="-20000"/>
  </r>
  <r>
    <x v="1"/>
    <n v="-3662"/>
  </r>
  <r>
    <x v="1"/>
    <n v="-35800"/>
  </r>
  <r>
    <x v="1"/>
    <n v="-26000"/>
  </r>
  <r>
    <x v="1"/>
    <n v="-32400"/>
  </r>
  <r>
    <x v="1"/>
    <n v="-45600"/>
  </r>
  <r>
    <x v="1"/>
    <n v="-16075"/>
  </r>
  <r>
    <x v="1"/>
    <n v="-4496"/>
  </r>
  <r>
    <x v="1"/>
    <n v="-16241"/>
  </r>
  <r>
    <x v="1"/>
    <n v="-24150"/>
  </r>
  <r>
    <x v="1"/>
    <n v="-7886"/>
  </r>
  <r>
    <x v="1"/>
    <n v="-22191"/>
  </r>
  <r>
    <x v="1"/>
    <n v="-12533"/>
  </r>
  <r>
    <x v="5"/>
    <n v="-188005"/>
  </r>
  <r>
    <x v="4"/>
    <n v="-3"/>
  </r>
  <r>
    <x v="2"/>
    <n v="-40000"/>
  </r>
  <r>
    <x v="2"/>
    <n v="-10000"/>
  </r>
  <r>
    <x v="1"/>
    <n v="-39485"/>
  </r>
  <r>
    <x v="1"/>
    <n v="-162"/>
  </r>
  <r>
    <x v="1"/>
    <n v="-4350"/>
  </r>
  <r>
    <x v="1"/>
    <n v="-28452"/>
  </r>
  <r>
    <x v="7"/>
    <n v="-76800"/>
  </r>
  <r>
    <x v="5"/>
    <n v="-2925"/>
  </r>
  <r>
    <x v="1"/>
    <n v="-78645"/>
  </r>
  <r>
    <x v="1"/>
    <n v="-65805"/>
  </r>
  <r>
    <x v="1"/>
    <n v="-78800"/>
  </r>
  <r>
    <x v="1"/>
    <n v="-7584"/>
  </r>
  <r>
    <x v="1"/>
    <n v="-61806"/>
  </r>
  <r>
    <x v="1"/>
    <n v="-49238"/>
  </r>
  <r>
    <x v="1"/>
    <n v="-80410"/>
  </r>
  <r>
    <x v="1"/>
    <n v="-37636"/>
  </r>
  <r>
    <x v="1"/>
    <n v="-462"/>
  </r>
  <r>
    <x v="1"/>
    <n v="-18458"/>
  </r>
  <r>
    <x v="1"/>
    <n v="-26660"/>
  </r>
  <r>
    <x v="1"/>
    <n v="-36188"/>
  </r>
  <r>
    <x v="1"/>
    <n v="-54510"/>
  </r>
  <r>
    <x v="1"/>
    <n v="-27690"/>
  </r>
  <r>
    <x v="1"/>
    <n v="-26392"/>
  </r>
  <r>
    <x v="1"/>
    <n v="-170630"/>
  </r>
  <r>
    <x v="1"/>
    <n v="-25038"/>
  </r>
  <r>
    <x v="1"/>
    <n v="-17840"/>
  </r>
  <r>
    <x v="1"/>
    <n v="-110150"/>
  </r>
  <r>
    <x v="1"/>
    <n v="-40574"/>
  </r>
  <r>
    <x v="1"/>
    <n v="-52761"/>
  </r>
  <r>
    <x v="1"/>
    <n v="-21700"/>
  </r>
  <r>
    <x v="1"/>
    <n v="-29377"/>
  </r>
  <r>
    <x v="1"/>
    <n v="-7000"/>
  </r>
  <r>
    <x v="1"/>
    <n v="-8701.2800000000007"/>
  </r>
  <r>
    <x v="1"/>
    <n v="-11640"/>
  </r>
  <r>
    <x v="1"/>
    <n v="-4900"/>
  </r>
  <r>
    <x v="1"/>
    <n v="-13900"/>
  </r>
  <r>
    <x v="1"/>
    <n v="-3600"/>
  </r>
  <r>
    <x v="2"/>
    <n v="-225000"/>
  </r>
  <r>
    <x v="9"/>
    <n v="2900"/>
  </r>
  <r>
    <x v="0"/>
    <n v="5522.73"/>
  </r>
  <r>
    <x v="0"/>
    <n v="270"/>
  </r>
</pivotCacheRecords>
</file>

<file path=xl/pivotCache/pivotCacheRecords9.xml><?xml version="1.0" encoding="utf-8"?>
<pivotCacheRecords xmlns="http://schemas.openxmlformats.org/spreadsheetml/2006/main" xmlns:r="http://schemas.openxmlformats.org/officeDocument/2006/relationships" count="11">
  <r>
    <x v="0"/>
    <n v="48807"/>
  </r>
  <r>
    <x v="1"/>
    <n v="191829.36000000002"/>
  </r>
  <r>
    <x v="2"/>
    <n v="1683619.3299999998"/>
  </r>
  <r>
    <x v="3"/>
    <n v="433124.75"/>
  </r>
  <r>
    <x v="4"/>
    <n v="539288.77"/>
  </r>
  <r>
    <x v="4"/>
    <n v="6919225.2799999993"/>
  </r>
  <r>
    <x v="4"/>
    <n v="748858"/>
  </r>
  <r>
    <x v="5"/>
    <n v="13200"/>
  </r>
  <r>
    <x v="6"/>
    <n v="73600"/>
  </r>
  <r>
    <x v="7"/>
    <n v="21980"/>
  </r>
  <r>
    <x v="8"/>
    <n v="29235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5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0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3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4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2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pivotTable1.xml><?xml version="1.0" encoding="utf-8"?>
<pivotTableDefinition xmlns="http://schemas.openxmlformats.org/spreadsheetml/2006/main" name="PivotTable1" cacheId="23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M101:N111" firstHeaderRow="1" firstDataRow="1" firstDataCol="1"/>
  <pivotFields count="2">
    <pivotField axis="axisRow" showAll="0">
      <items count="10">
        <item x="0"/>
        <item x="2"/>
        <item x="1"/>
        <item x="3"/>
        <item x="7"/>
        <item x="6"/>
        <item x="8"/>
        <item x="5"/>
        <item x="4"/>
        <item t="default"/>
      </items>
    </pivotField>
    <pivotField dataField="1" numFmtId="43" showAll="0" defaultSubtota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Sum of  10,965,887.49 " fld="1" baseField="0" baseItem="0"/>
  </dataFields>
  <formats count="19">
    <format dxfId="26">
      <pivotArea collapsedLevelsAreSubtotals="1" fieldPosition="0">
        <references count="1">
          <reference field="0" count="0"/>
        </references>
      </pivotArea>
    </format>
    <format dxfId="25">
      <pivotArea grandRow="1" outline="0" collapsedLevelsAreSubtotals="1" fieldPosition="0"/>
    </format>
    <format dxfId="24">
      <pivotArea collapsedLevelsAreSubtotals="1" fieldPosition="0">
        <references count="1">
          <reference field="0" count="0"/>
        </references>
      </pivotArea>
    </format>
    <format dxfId="23">
      <pivotArea dataOnly="0" labelOnly="1" fieldPosition="0">
        <references count="1">
          <reference field="0" count="0"/>
        </references>
      </pivotArea>
    </format>
    <format dxfId="22">
      <pivotArea collapsedLevelsAreSubtotals="1" fieldPosition="0">
        <references count="1">
          <reference field="0" count="1">
            <x v="0"/>
          </reference>
        </references>
      </pivotArea>
    </format>
    <format dxfId="21">
      <pivotArea dataOnly="0" labelOnly="1" fieldPosition="0">
        <references count="1">
          <reference field="0" count="1">
            <x v="0"/>
          </reference>
        </references>
      </pivotArea>
    </format>
    <format dxfId="20">
      <pivotArea dataOnly="0" fieldPosition="0">
        <references count="1">
          <reference field="0" count="1">
            <x v="1"/>
          </reference>
        </references>
      </pivotArea>
    </format>
    <format dxfId="19">
      <pivotArea dataOnly="0" fieldPosition="0">
        <references count="1">
          <reference field="0" count="1">
            <x v="2"/>
          </reference>
        </references>
      </pivotArea>
    </format>
    <format dxfId="18">
      <pivotArea collapsedLevelsAreSubtotals="1" fieldPosition="0">
        <references count="1">
          <reference field="0" count="1">
            <x v="3"/>
          </reference>
        </references>
      </pivotArea>
    </format>
    <format dxfId="17">
      <pivotArea dataOnly="0" labelOnly="1" fieldPosition="0">
        <references count="1">
          <reference field="0" count="1">
            <x v="3"/>
          </reference>
        </references>
      </pivotArea>
    </format>
    <format dxfId="16">
      <pivotArea dataOnly="0" fieldPosition="0">
        <references count="1">
          <reference field="0" count="1">
            <x v="4"/>
          </reference>
        </references>
      </pivotArea>
    </format>
    <format dxfId="15">
      <pivotArea collapsedLevelsAreSubtotals="1" fieldPosition="0">
        <references count="1">
          <reference field="0" count="1">
            <x v="5"/>
          </reference>
        </references>
      </pivotArea>
    </format>
    <format dxfId="14">
      <pivotArea dataOnly="0" labelOnly="1" fieldPosition="0">
        <references count="1">
          <reference field="0" count="1">
            <x v="5"/>
          </reference>
        </references>
      </pivotArea>
    </format>
    <format dxfId="13">
      <pivotArea collapsedLevelsAreSubtotals="1" fieldPosition="0">
        <references count="1">
          <reference field="0" count="1">
            <x v="6"/>
          </reference>
        </references>
      </pivotArea>
    </format>
    <format dxfId="12">
      <pivotArea dataOnly="0" labelOnly="1" fieldPosition="0">
        <references count="1">
          <reference field="0" count="1">
            <x v="6"/>
          </reference>
        </references>
      </pivotArea>
    </format>
    <format dxfId="11">
      <pivotArea collapsedLevelsAreSubtotals="1" fieldPosition="0">
        <references count="1">
          <reference field="0" count="1">
            <x v="7"/>
          </reference>
        </references>
      </pivotArea>
    </format>
    <format dxfId="10">
      <pivotArea dataOnly="0" labelOnly="1" fieldPosition="0">
        <references count="1">
          <reference field="0" count="1">
            <x v="7"/>
          </reference>
        </references>
      </pivotArea>
    </format>
    <format dxfId="9">
      <pivotArea collapsedLevelsAreSubtotals="1" fieldPosition="0">
        <references count="1">
          <reference field="0" count="1">
            <x v="8"/>
          </reference>
        </references>
      </pivotArea>
    </format>
    <format dxfId="8">
      <pivotArea dataOnly="0" labelOnly="1" fieldPosition="0">
        <references count="1">
          <reference field="0" count="1">
            <x v="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PivotTable7" cacheId="17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D87:E95" firstHeaderRow="1" firstDataRow="1" firstDataCol="1"/>
  <pivotFields count="2">
    <pivotField axis="axisRow" showAll="0">
      <items count="8">
        <item x="2"/>
        <item x="5"/>
        <item x="3"/>
        <item x="6"/>
        <item x="4"/>
        <item x="1"/>
        <item x="0"/>
        <item t="default"/>
      </items>
    </pivotField>
    <pivotField dataField="1" numFmtId="43"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Sum of -3,564,509.92 " fld="1" baseField="0" baseItem="0" numFmtId="43"/>
  </dataFields>
  <formats count="11">
    <format dxfId="177">
      <pivotArea outline="0" collapsedLevelsAreSubtotals="1" fieldPosition="0"/>
    </format>
    <format dxfId="176">
      <pivotArea collapsedLevelsAreSubtotals="1" fieldPosition="0">
        <references count="1">
          <reference field="0" count="1">
            <x v="0"/>
          </reference>
        </references>
      </pivotArea>
    </format>
    <format dxfId="175">
      <pivotArea dataOnly="0" labelOnly="1" fieldPosition="0">
        <references count="1">
          <reference field="0" count="1">
            <x v="0"/>
          </reference>
        </references>
      </pivotArea>
    </format>
    <format dxfId="174">
      <pivotArea collapsedLevelsAreSubtotals="1" fieldPosition="0">
        <references count="1">
          <reference field="0" count="3">
            <x v="1"/>
            <x v="2"/>
            <x v="3"/>
          </reference>
        </references>
      </pivotArea>
    </format>
    <format dxfId="173">
      <pivotArea dataOnly="0" labelOnly="1" fieldPosition="0">
        <references count="1">
          <reference field="0" count="3">
            <x v="1"/>
            <x v="2"/>
            <x v="3"/>
          </reference>
        </references>
      </pivotArea>
    </format>
    <format dxfId="172">
      <pivotArea collapsedLevelsAreSubtotals="1" fieldPosition="0">
        <references count="1">
          <reference field="0" count="1">
            <x v="6"/>
          </reference>
        </references>
      </pivotArea>
    </format>
    <format dxfId="171">
      <pivotArea dataOnly="0" labelOnly="1" fieldPosition="0">
        <references count="1">
          <reference field="0" count="1">
            <x v="6"/>
          </reference>
        </references>
      </pivotArea>
    </format>
    <format dxfId="170">
      <pivotArea collapsedLevelsAreSubtotals="1" fieldPosition="0">
        <references count="1">
          <reference field="0" count="1">
            <x v="5"/>
          </reference>
        </references>
      </pivotArea>
    </format>
    <format dxfId="169">
      <pivotArea dataOnly="0" labelOnly="1" fieldPosition="0">
        <references count="1">
          <reference field="0" count="1">
            <x v="5"/>
          </reference>
        </references>
      </pivotArea>
    </format>
    <format dxfId="168">
      <pivotArea collapsedLevelsAreSubtotals="1" fieldPosition="0">
        <references count="1">
          <reference field="0" count="1">
            <x v="4"/>
          </reference>
        </references>
      </pivotArea>
    </format>
    <format dxfId="167">
      <pivotArea dataOnly="0" labelOnly="1" fieldPosition="0">
        <references count="1">
          <reference field="0" count="1"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PivotTable18" cacheId="29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Q11:AR18" firstHeaderRow="1" firstDataRow="1" firstDataCol="1"/>
  <pivotFields count="2">
    <pivotField axis="axisRow" showAll="0">
      <items count="7">
        <item x="0"/>
        <item x="4"/>
        <item x="1"/>
        <item x="3"/>
        <item x="5"/>
        <item x="2"/>
        <item t="default"/>
      </items>
    </pivotField>
    <pivotField dataField="1" numFmtId="43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 of -5,408,065.55 " fld="1" baseField="0" baseItem="0" numFmtId="43"/>
  </dataFields>
  <formats count="13">
    <format dxfId="190">
      <pivotArea outline="0" collapsedLevelsAreSubtotals="1" fieldPosition="0"/>
    </format>
    <format dxfId="189">
      <pivotArea collapsedLevelsAreSubtotals="1" fieldPosition="0">
        <references count="1">
          <reference field="0" count="1">
            <x v="0"/>
          </reference>
        </references>
      </pivotArea>
    </format>
    <format dxfId="188">
      <pivotArea dataOnly="0" labelOnly="1" fieldPosition="0">
        <references count="1">
          <reference field="0" count="1">
            <x v="0"/>
          </reference>
        </references>
      </pivotArea>
    </format>
    <format dxfId="187">
      <pivotArea collapsedLevelsAreSubtotals="1" fieldPosition="0">
        <references count="1">
          <reference field="0" count="1">
            <x v="1"/>
          </reference>
        </references>
      </pivotArea>
    </format>
    <format dxfId="186">
      <pivotArea dataOnly="0" labelOnly="1" fieldPosition="0">
        <references count="1">
          <reference field="0" count="1">
            <x v="1"/>
          </reference>
        </references>
      </pivotArea>
    </format>
    <format dxfId="185">
      <pivotArea collapsedLevelsAreSubtotals="1" fieldPosition="0">
        <references count="1">
          <reference field="0" count="1">
            <x v="2"/>
          </reference>
        </references>
      </pivotArea>
    </format>
    <format dxfId="184">
      <pivotArea dataOnly="0" labelOnly="1" fieldPosition="0">
        <references count="1">
          <reference field="0" count="1">
            <x v="2"/>
          </reference>
        </references>
      </pivotArea>
    </format>
    <format dxfId="183">
      <pivotArea collapsedLevelsAreSubtotals="1" fieldPosition="0">
        <references count="1">
          <reference field="0" count="1">
            <x v="3"/>
          </reference>
        </references>
      </pivotArea>
    </format>
    <format dxfId="182">
      <pivotArea dataOnly="0" labelOnly="1" fieldPosition="0">
        <references count="1">
          <reference field="0" count="1">
            <x v="3"/>
          </reference>
        </references>
      </pivotArea>
    </format>
    <format dxfId="181">
      <pivotArea collapsedLevelsAreSubtotals="1" fieldPosition="0">
        <references count="1">
          <reference field="0" count="1">
            <x v="4"/>
          </reference>
        </references>
      </pivotArea>
    </format>
    <format dxfId="180">
      <pivotArea dataOnly="0" labelOnly="1" fieldPosition="0">
        <references count="1">
          <reference field="0" count="1">
            <x v="4"/>
          </reference>
        </references>
      </pivotArea>
    </format>
    <format dxfId="179">
      <pivotArea collapsedLevelsAreSubtotals="1" fieldPosition="0">
        <references count="1">
          <reference field="0" count="2">
            <x v="4"/>
            <x v="5"/>
          </reference>
        </references>
      </pivotArea>
    </format>
    <format dxfId="178">
      <pivotArea dataOnly="0" labelOnly="1" fieldPosition="0">
        <references count="1">
          <reference field="0" count="2">
            <x v="4"/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PivotTable2" cacheId="15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C11:D17" firstHeaderRow="1" firstDataRow="1" firstDataCol="1"/>
  <pivotFields count="2">
    <pivotField axis="axisRow" showAll="0">
      <items count="6">
        <item x="3"/>
        <item x="2"/>
        <item x="0"/>
        <item x="4"/>
        <item x="1"/>
        <item t="default"/>
      </items>
    </pivotField>
    <pivotField dataField="1" numFmtId="43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um of -124,970.56 " fld="1" baseField="0" baseItem="0"/>
  </dataFields>
  <formats count="6">
    <format dxfId="196">
      <pivotArea collapsedLevelsAreSubtotals="1" fieldPosition="0">
        <references count="1">
          <reference field="0" count="3">
            <x v="0"/>
            <x v="1"/>
            <x v="2"/>
          </reference>
        </references>
      </pivotArea>
    </format>
    <format dxfId="195">
      <pivotArea dataOnly="0" labelOnly="1" fieldPosition="0">
        <references count="1">
          <reference field="0" count="3">
            <x v="0"/>
            <x v="1"/>
            <x v="2"/>
          </reference>
        </references>
      </pivotArea>
    </format>
    <format dxfId="194">
      <pivotArea collapsedLevelsAreSubtotals="1" fieldPosition="0">
        <references count="1">
          <reference field="0" count="1">
            <x v="3"/>
          </reference>
        </references>
      </pivotArea>
    </format>
    <format dxfId="193">
      <pivotArea dataOnly="0" labelOnly="1" fieldPosition="0">
        <references count="1">
          <reference field="0" count="1">
            <x v="3"/>
          </reference>
        </references>
      </pivotArea>
    </format>
    <format dxfId="192">
      <pivotArea collapsedLevelsAreSubtotals="1" fieldPosition="0">
        <references count="1">
          <reference field="0" count="1">
            <x v="4"/>
          </reference>
        </references>
      </pivotArea>
    </format>
    <format dxfId="191">
      <pivotArea dataOnly="0" labelOnly="1" fieldPosition="0">
        <references count="1">
          <reference field="0" count="1"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3.xml><?xml version="1.0" encoding="utf-8"?>
<pivotTableDefinition xmlns="http://schemas.openxmlformats.org/spreadsheetml/2006/main" name="PivotTable11" cacheId="2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I82:J88" firstHeaderRow="1" firstDataRow="1" firstDataCol="1"/>
  <pivotFields count="2">
    <pivotField axis="axisRow" showAll="0">
      <items count="6">
        <item x="0"/>
        <item x="1"/>
        <item x="2"/>
        <item x="3"/>
        <item x="4"/>
        <item t="default"/>
      </items>
    </pivotField>
    <pivotField dataField="1" numFmtId="43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um of -2,139,728.45 " fld="1" baseField="0" baseItem="0"/>
  </dataFields>
  <formats count="10">
    <format dxfId="206">
      <pivotArea collapsedLevelsAreSubtotals="1" fieldPosition="0">
        <references count="1">
          <reference field="0" count="0"/>
        </references>
      </pivotArea>
    </format>
    <format dxfId="205">
      <pivotArea grandRow="1" outline="0" collapsedLevelsAreSubtotals="1" fieldPosition="0"/>
    </format>
    <format dxfId="204">
      <pivotArea collapsedLevelsAreSubtotals="1" fieldPosition="0">
        <references count="1">
          <reference field="0" count="1">
            <x v="0"/>
          </reference>
        </references>
      </pivotArea>
    </format>
    <format dxfId="203">
      <pivotArea dataOnly="0" labelOnly="1" fieldPosition="0">
        <references count="1">
          <reference field="0" count="1">
            <x v="0"/>
          </reference>
        </references>
      </pivotArea>
    </format>
    <format dxfId="202">
      <pivotArea collapsedLevelsAreSubtotals="1" fieldPosition="0">
        <references count="1">
          <reference field="0" count="2">
            <x v="1"/>
            <x v="2"/>
          </reference>
        </references>
      </pivotArea>
    </format>
    <format dxfId="201">
      <pivotArea dataOnly="0" labelOnly="1" fieldPosition="0">
        <references count="1">
          <reference field="0" count="2">
            <x v="1"/>
            <x v="2"/>
          </reference>
        </references>
      </pivotArea>
    </format>
    <format dxfId="200">
      <pivotArea collapsedLevelsAreSubtotals="1" fieldPosition="0">
        <references count="1">
          <reference field="0" count="1">
            <x v="3"/>
          </reference>
        </references>
      </pivotArea>
    </format>
    <format dxfId="199">
      <pivotArea dataOnly="0" labelOnly="1" fieldPosition="0">
        <references count="1">
          <reference field="0" count="1">
            <x v="3"/>
          </reference>
        </references>
      </pivotArea>
    </format>
    <format dxfId="198">
      <pivotArea collapsedLevelsAreSubtotals="1" fieldPosition="0">
        <references count="1">
          <reference field="0" count="1">
            <x v="4"/>
          </reference>
        </references>
      </pivotArea>
    </format>
    <format dxfId="197">
      <pivotArea dataOnly="0" labelOnly="1" fieldPosition="0">
        <references count="1">
          <reference field="0" count="1"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4.xml><?xml version="1.0" encoding="utf-8"?>
<pivotTableDefinition xmlns="http://schemas.openxmlformats.org/spreadsheetml/2006/main" name="PivotTable4" cacheId="24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M124:N134" firstHeaderRow="1" firstDataRow="1" firstDataCol="1"/>
  <pivotFields count="2">
    <pivotField axis="axisRow" showAll="0">
      <items count="10">
        <item x="0"/>
        <item x="1"/>
        <item x="4"/>
        <item x="2"/>
        <item x="3"/>
        <item x="7"/>
        <item x="8"/>
        <item x="5"/>
        <item x="6"/>
        <item t="default"/>
      </items>
    </pivotField>
    <pivotField dataField="1" numFmtId="43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Sum of -8,817,353.10 " fld="1" baseField="0" baseItem="0"/>
  </dataFields>
  <formats count="18">
    <format dxfId="224">
      <pivotArea collapsedLevelsAreSubtotals="1" fieldPosition="0">
        <references count="1">
          <reference field="0" count="0"/>
        </references>
      </pivotArea>
    </format>
    <format dxfId="223">
      <pivotArea grandRow="1" outline="0" collapsedLevelsAreSubtotals="1" fieldPosition="0"/>
    </format>
    <format dxfId="222">
      <pivotArea collapsedLevelsAreSubtotals="1" fieldPosition="0">
        <references count="1">
          <reference field="0" count="2">
            <x v="0"/>
            <x v="1"/>
          </reference>
        </references>
      </pivotArea>
    </format>
    <format dxfId="221">
      <pivotArea dataOnly="0" labelOnly="1" fieldPosition="0">
        <references count="1">
          <reference field="0" count="2">
            <x v="0"/>
            <x v="1"/>
          </reference>
        </references>
      </pivotArea>
    </format>
    <format dxfId="220">
      <pivotArea collapsedLevelsAreSubtotals="1" fieldPosition="0">
        <references count="1">
          <reference field="0" count="1">
            <x v="2"/>
          </reference>
        </references>
      </pivotArea>
    </format>
    <format dxfId="219">
      <pivotArea dataOnly="0" labelOnly="1" fieldPosition="0">
        <references count="1">
          <reference field="0" count="1">
            <x v="2"/>
          </reference>
        </references>
      </pivotArea>
    </format>
    <format dxfId="218">
      <pivotArea collapsedLevelsAreSubtotals="1" fieldPosition="0">
        <references count="1">
          <reference field="0" count="1">
            <x v="3"/>
          </reference>
        </references>
      </pivotArea>
    </format>
    <format dxfId="217">
      <pivotArea dataOnly="0" labelOnly="1" fieldPosition="0">
        <references count="1">
          <reference field="0" count="1">
            <x v="3"/>
          </reference>
        </references>
      </pivotArea>
    </format>
    <format dxfId="216">
      <pivotArea collapsedLevelsAreSubtotals="1" fieldPosition="0">
        <references count="1">
          <reference field="0" count="1">
            <x v="4"/>
          </reference>
        </references>
      </pivotArea>
    </format>
    <format dxfId="215">
      <pivotArea dataOnly="0" labelOnly="1" fieldPosition="0">
        <references count="1">
          <reference field="0" count="1">
            <x v="4"/>
          </reference>
        </references>
      </pivotArea>
    </format>
    <format dxfId="214">
      <pivotArea collapsedLevelsAreSubtotals="1" fieldPosition="0">
        <references count="1">
          <reference field="0" count="1">
            <x v="5"/>
          </reference>
        </references>
      </pivotArea>
    </format>
    <format dxfId="213">
      <pivotArea dataOnly="0" labelOnly="1" fieldPosition="0">
        <references count="1">
          <reference field="0" count="1">
            <x v="5"/>
          </reference>
        </references>
      </pivotArea>
    </format>
    <format dxfId="212">
      <pivotArea collapsedLevelsAreSubtotals="1" fieldPosition="0">
        <references count="1">
          <reference field="0" count="1">
            <x v="6"/>
          </reference>
        </references>
      </pivotArea>
    </format>
    <format dxfId="211">
      <pivotArea dataOnly="0" labelOnly="1" fieldPosition="0">
        <references count="1">
          <reference field="0" count="1">
            <x v="6"/>
          </reference>
        </references>
      </pivotArea>
    </format>
    <format dxfId="210">
      <pivotArea collapsedLevelsAreSubtotals="1" fieldPosition="0">
        <references count="1">
          <reference field="0" count="1">
            <x v="7"/>
          </reference>
        </references>
      </pivotArea>
    </format>
    <format dxfId="209">
      <pivotArea dataOnly="0" labelOnly="1" fieldPosition="0">
        <references count="1">
          <reference field="0" count="1">
            <x v="7"/>
          </reference>
        </references>
      </pivotArea>
    </format>
    <format dxfId="208">
      <pivotArea collapsedLevelsAreSubtotals="1" fieldPosition="0">
        <references count="1">
          <reference field="0" count="1">
            <x v="8"/>
          </reference>
        </references>
      </pivotArea>
    </format>
    <format dxfId="207">
      <pivotArea dataOnly="0" labelOnly="1" fieldPosition="0">
        <references count="1">
          <reference field="0" count="1">
            <x v="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5.xml><?xml version="1.0" encoding="utf-8"?>
<pivotTableDefinition xmlns="http://schemas.openxmlformats.org/spreadsheetml/2006/main" name="PivotTable15" cacheId="27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J11:AK16" firstHeaderRow="1" firstDataRow="1" firstDataCol="1"/>
  <pivotFields count="2">
    <pivotField axis="axisRow" showAll="0">
      <items count="5">
        <item n="5010102000" x="0"/>
        <item x="1"/>
        <item x="3"/>
        <item x="2"/>
        <item t="default"/>
      </items>
    </pivotField>
    <pivotField dataField="1" numFmtId="43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of -871,078.46 " fld="1" baseField="0" baseItem="0"/>
  </dataFields>
  <formats count="16">
    <format dxfId="240">
      <pivotArea collapsedLevelsAreSubtotals="1" fieldPosition="0">
        <references count="1">
          <reference field="0" count="1">
            <x v="0"/>
          </reference>
        </references>
      </pivotArea>
    </format>
    <format dxfId="239">
      <pivotArea dataOnly="0" labelOnly="1" fieldPosition="0">
        <references count="1">
          <reference field="0" count="1">
            <x v="0"/>
          </reference>
        </references>
      </pivotArea>
    </format>
    <format dxfId="238">
      <pivotArea collapsedLevelsAreSubtotals="1" fieldPosition="0">
        <references count="1">
          <reference field="0" count="1">
            <x v="1"/>
          </reference>
        </references>
      </pivotArea>
    </format>
    <format dxfId="237">
      <pivotArea dataOnly="0" labelOnly="1" fieldPosition="0">
        <references count="1">
          <reference field="0" count="1">
            <x v="1"/>
          </reference>
        </references>
      </pivotArea>
    </format>
    <format dxfId="236">
      <pivotArea collapsedLevelsAreSubtotals="1" fieldPosition="0">
        <references count="1">
          <reference field="0" count="1">
            <x v="2"/>
          </reference>
        </references>
      </pivotArea>
    </format>
    <format dxfId="235">
      <pivotArea dataOnly="0" labelOnly="1" fieldPosition="0">
        <references count="1">
          <reference field="0" count="1">
            <x v="2"/>
          </reference>
        </references>
      </pivotArea>
    </format>
    <format dxfId="234">
      <pivotArea collapsedLevelsAreSubtotals="1" fieldPosition="0">
        <references count="1">
          <reference field="0" count="1">
            <x v="3"/>
          </reference>
        </references>
      </pivotArea>
    </format>
    <format dxfId="233">
      <pivotArea dataOnly="0" labelOnly="1" fieldPosition="0">
        <references count="1">
          <reference field="0" count="1">
            <x v="3"/>
          </reference>
        </references>
      </pivotArea>
    </format>
    <format dxfId="232">
      <pivotArea collapsedLevelsAreSubtotals="1" fieldPosition="0">
        <references count="1">
          <reference field="0" count="1">
            <x v="0"/>
          </reference>
        </references>
      </pivotArea>
    </format>
    <format dxfId="231">
      <pivotArea dataOnly="0" labelOnly="1" fieldPosition="0">
        <references count="1">
          <reference field="0" count="1">
            <x v="0"/>
          </reference>
        </references>
      </pivotArea>
    </format>
    <format dxfId="230">
      <pivotArea collapsedLevelsAreSubtotals="1" fieldPosition="0">
        <references count="1">
          <reference field="0" count="1">
            <x v="1"/>
          </reference>
        </references>
      </pivotArea>
    </format>
    <format dxfId="229">
      <pivotArea dataOnly="0" labelOnly="1" fieldPosition="0">
        <references count="1">
          <reference field="0" count="1">
            <x v="1"/>
          </reference>
        </references>
      </pivotArea>
    </format>
    <format dxfId="228">
      <pivotArea collapsedLevelsAreSubtotals="1" fieldPosition="0">
        <references count="1">
          <reference field="0" count="1">
            <x v="2"/>
          </reference>
        </references>
      </pivotArea>
    </format>
    <format dxfId="227">
      <pivotArea dataOnly="0" labelOnly="1" fieldPosition="0">
        <references count="1">
          <reference field="0" count="1">
            <x v="2"/>
          </reference>
        </references>
      </pivotArea>
    </format>
    <format dxfId="226">
      <pivotArea collapsedLevelsAreSubtotals="1" fieldPosition="0">
        <references count="1">
          <reference field="0" count="1">
            <x v="3"/>
          </reference>
        </references>
      </pivotArea>
    </format>
    <format dxfId="225">
      <pivotArea dataOnly="0" labelOnly="1" fieldPosition="0">
        <references count="1">
          <reference field="0" count="1"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6.xml><?xml version="1.0" encoding="utf-8"?>
<pivotTableDefinition xmlns="http://schemas.openxmlformats.org/spreadsheetml/2006/main" name="PivotTable8" cacheId="18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H9:I21" firstHeaderRow="1" firstDataRow="1" firstDataCol="1"/>
  <pivotFields count="2">
    <pivotField axis="axisRow" showAll="0">
      <items count="12">
        <item x="10"/>
        <item x="9"/>
        <item x="4"/>
        <item x="7"/>
        <item x="8"/>
        <item x="5"/>
        <item x="0"/>
        <item x="3"/>
        <item x="2"/>
        <item x="1"/>
        <item x="6"/>
        <item t="default"/>
      </items>
    </pivotField>
    <pivotField dataField="1" numFmtId="43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Sum of -2,361,246.75 " fld="1" baseField="0" baseItem="0"/>
  </dataFields>
  <formats count="20">
    <format dxfId="260">
      <pivotArea collapsedLevelsAreSubtotals="1" fieldPosition="0">
        <references count="1">
          <reference field="0" count="2">
            <x v="0"/>
            <x v="1"/>
          </reference>
        </references>
      </pivotArea>
    </format>
    <format dxfId="259">
      <pivotArea dataOnly="0" labelOnly="1" fieldPosition="0">
        <references count="1">
          <reference field="0" count="2">
            <x v="0"/>
            <x v="1"/>
          </reference>
        </references>
      </pivotArea>
    </format>
    <format dxfId="258">
      <pivotArea collapsedLevelsAreSubtotals="1" fieldPosition="0">
        <references count="1">
          <reference field="0" count="1">
            <x v="2"/>
          </reference>
        </references>
      </pivotArea>
    </format>
    <format dxfId="257">
      <pivotArea dataOnly="0" labelOnly="1" fieldPosition="0">
        <references count="1">
          <reference field="0" count="1">
            <x v="2"/>
          </reference>
        </references>
      </pivotArea>
    </format>
    <format dxfId="256">
      <pivotArea collapsedLevelsAreSubtotals="1" fieldPosition="0">
        <references count="1">
          <reference field="0" count="1">
            <x v="3"/>
          </reference>
        </references>
      </pivotArea>
    </format>
    <format dxfId="255">
      <pivotArea dataOnly="0" labelOnly="1" fieldPosition="0">
        <references count="1">
          <reference field="0" count="1">
            <x v="3"/>
          </reference>
        </references>
      </pivotArea>
    </format>
    <format dxfId="254">
      <pivotArea collapsedLevelsAreSubtotals="1" fieldPosition="0">
        <references count="1">
          <reference field="0" count="1">
            <x v="4"/>
          </reference>
        </references>
      </pivotArea>
    </format>
    <format dxfId="253">
      <pivotArea dataOnly="0" labelOnly="1" fieldPosition="0">
        <references count="1">
          <reference field="0" count="1">
            <x v="4"/>
          </reference>
        </references>
      </pivotArea>
    </format>
    <format dxfId="252">
      <pivotArea collapsedLevelsAreSubtotals="1" fieldPosition="0">
        <references count="1">
          <reference field="0" count="1">
            <x v="5"/>
          </reference>
        </references>
      </pivotArea>
    </format>
    <format dxfId="251">
      <pivotArea dataOnly="0" labelOnly="1" fieldPosition="0">
        <references count="1">
          <reference field="0" count="1">
            <x v="5"/>
          </reference>
        </references>
      </pivotArea>
    </format>
    <format dxfId="250">
      <pivotArea collapsedLevelsAreSubtotals="1" fieldPosition="0">
        <references count="1">
          <reference field="0" count="1">
            <x v="6"/>
          </reference>
        </references>
      </pivotArea>
    </format>
    <format dxfId="249">
      <pivotArea dataOnly="0" labelOnly="1" fieldPosition="0">
        <references count="1">
          <reference field="0" count="1">
            <x v="6"/>
          </reference>
        </references>
      </pivotArea>
    </format>
    <format dxfId="248">
      <pivotArea collapsedLevelsAreSubtotals="1" fieldPosition="0">
        <references count="1">
          <reference field="0" count="1">
            <x v="7"/>
          </reference>
        </references>
      </pivotArea>
    </format>
    <format dxfId="247">
      <pivotArea dataOnly="0" labelOnly="1" fieldPosition="0">
        <references count="1">
          <reference field="0" count="1">
            <x v="7"/>
          </reference>
        </references>
      </pivotArea>
    </format>
    <format dxfId="246">
      <pivotArea collapsedLevelsAreSubtotals="1" fieldPosition="0">
        <references count="1">
          <reference field="0" count="1">
            <x v="8"/>
          </reference>
        </references>
      </pivotArea>
    </format>
    <format dxfId="245">
      <pivotArea dataOnly="0" labelOnly="1" fieldPosition="0">
        <references count="1">
          <reference field="0" count="1">
            <x v="8"/>
          </reference>
        </references>
      </pivotArea>
    </format>
    <format dxfId="244">
      <pivotArea collapsedLevelsAreSubtotals="1" fieldPosition="0">
        <references count="1">
          <reference field="0" count="1">
            <x v="9"/>
          </reference>
        </references>
      </pivotArea>
    </format>
    <format dxfId="243">
      <pivotArea dataOnly="0" labelOnly="1" fieldPosition="0">
        <references count="1">
          <reference field="0" count="1">
            <x v="9"/>
          </reference>
        </references>
      </pivotArea>
    </format>
    <format dxfId="242">
      <pivotArea collapsedLevelsAreSubtotals="1" fieldPosition="0">
        <references count="1">
          <reference field="0" count="1">
            <x v="10"/>
          </reference>
        </references>
      </pivotArea>
    </format>
    <format dxfId="241">
      <pivotArea dataOnly="0" labelOnly="1" fieldPosition="0">
        <references count="1">
          <reference field="0" count="1">
            <x v="1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7.xml><?xml version="1.0" encoding="utf-8"?>
<pivotTableDefinition xmlns="http://schemas.openxmlformats.org/spreadsheetml/2006/main" name="PivotTable6" cacheId="22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M10:N21" firstHeaderRow="1" firstDataRow="1" firstDataCol="1"/>
  <pivotFields count="2">
    <pivotField axis="axisRow" showAll="0">
      <items count="11">
        <item x="9"/>
        <item x="1"/>
        <item x="5"/>
        <item x="8"/>
        <item x="6"/>
        <item x="3"/>
        <item x="0"/>
        <item x="2"/>
        <item x="7"/>
        <item x="4"/>
        <item t="default"/>
      </items>
    </pivotField>
    <pivotField dataField="1" numFmtId="43" showAll="0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Sum of -6,252,875.05 " fld="1" baseField="0" baseItem="0" numFmtId="43"/>
  </dataFields>
  <formats count="21">
    <format dxfId="281">
      <pivotArea outline="0" collapsedLevelsAreSubtotals="1" fieldPosition="0"/>
    </format>
    <format dxfId="280">
      <pivotArea collapsedLevelsAreSubtotals="1" fieldPosition="0">
        <references count="1">
          <reference field="0" count="1">
            <x v="0"/>
          </reference>
        </references>
      </pivotArea>
    </format>
    <format dxfId="279">
      <pivotArea dataOnly="0" labelOnly="1" fieldPosition="0">
        <references count="1">
          <reference field="0" count="1">
            <x v="0"/>
          </reference>
        </references>
      </pivotArea>
    </format>
    <format dxfId="278">
      <pivotArea collapsedLevelsAreSubtotals="1" fieldPosition="0">
        <references count="1">
          <reference field="0" count="1">
            <x v="1"/>
          </reference>
        </references>
      </pivotArea>
    </format>
    <format dxfId="277">
      <pivotArea dataOnly="0" labelOnly="1" fieldPosition="0">
        <references count="1">
          <reference field="0" count="1">
            <x v="1"/>
          </reference>
        </references>
      </pivotArea>
    </format>
    <format dxfId="276">
      <pivotArea collapsedLevelsAreSubtotals="1" fieldPosition="0">
        <references count="1">
          <reference field="0" count="1">
            <x v="2"/>
          </reference>
        </references>
      </pivotArea>
    </format>
    <format dxfId="275">
      <pivotArea dataOnly="0" labelOnly="1" fieldPosition="0">
        <references count="1">
          <reference field="0" count="1">
            <x v="2"/>
          </reference>
        </references>
      </pivotArea>
    </format>
    <format dxfId="274">
      <pivotArea collapsedLevelsAreSubtotals="1" fieldPosition="0">
        <references count="1">
          <reference field="0" count="1">
            <x v="3"/>
          </reference>
        </references>
      </pivotArea>
    </format>
    <format dxfId="273">
      <pivotArea dataOnly="0" labelOnly="1" fieldPosition="0">
        <references count="1">
          <reference field="0" count="1">
            <x v="3"/>
          </reference>
        </references>
      </pivotArea>
    </format>
    <format dxfId="272">
      <pivotArea collapsedLevelsAreSubtotals="1" fieldPosition="0">
        <references count="1">
          <reference field="0" count="1">
            <x v="4"/>
          </reference>
        </references>
      </pivotArea>
    </format>
    <format dxfId="271">
      <pivotArea dataOnly="0" labelOnly="1" fieldPosition="0">
        <references count="1">
          <reference field="0" count="1">
            <x v="4"/>
          </reference>
        </references>
      </pivotArea>
    </format>
    <format dxfId="270">
      <pivotArea collapsedLevelsAreSubtotals="1" fieldPosition="0">
        <references count="1">
          <reference field="0" count="1">
            <x v="5"/>
          </reference>
        </references>
      </pivotArea>
    </format>
    <format dxfId="269">
      <pivotArea dataOnly="0" labelOnly="1" fieldPosition="0">
        <references count="1">
          <reference field="0" count="1">
            <x v="5"/>
          </reference>
        </references>
      </pivotArea>
    </format>
    <format dxfId="268">
      <pivotArea collapsedLevelsAreSubtotals="1" fieldPosition="0">
        <references count="1">
          <reference field="0" count="1">
            <x v="6"/>
          </reference>
        </references>
      </pivotArea>
    </format>
    <format dxfId="267">
      <pivotArea dataOnly="0" labelOnly="1" fieldPosition="0">
        <references count="1">
          <reference field="0" count="1">
            <x v="6"/>
          </reference>
        </references>
      </pivotArea>
    </format>
    <format dxfId="266">
      <pivotArea collapsedLevelsAreSubtotals="1" fieldPosition="0">
        <references count="1">
          <reference field="0" count="1">
            <x v="7"/>
          </reference>
        </references>
      </pivotArea>
    </format>
    <format dxfId="265">
      <pivotArea dataOnly="0" labelOnly="1" fieldPosition="0">
        <references count="1">
          <reference field="0" count="1">
            <x v="7"/>
          </reference>
        </references>
      </pivotArea>
    </format>
    <format dxfId="264">
      <pivotArea collapsedLevelsAreSubtotals="1" fieldPosition="0">
        <references count="1">
          <reference field="0" count="1">
            <x v="8"/>
          </reference>
        </references>
      </pivotArea>
    </format>
    <format dxfId="263">
      <pivotArea dataOnly="0" labelOnly="1" fieldPosition="0">
        <references count="1">
          <reference field="0" count="1">
            <x v="8"/>
          </reference>
        </references>
      </pivotArea>
    </format>
    <format dxfId="262">
      <pivotArea collapsedLevelsAreSubtotals="1" fieldPosition="0">
        <references count="1">
          <reference field="0" count="1">
            <x v="9"/>
          </reference>
        </references>
      </pivotArea>
    </format>
    <format dxfId="261">
      <pivotArea dataOnly="0" labelOnly="1" fieldPosition="0">
        <references count="1">
          <reference field="0" count="1">
            <x v="9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8.xml><?xml version="1.0" encoding="utf-8"?>
<pivotTableDefinition xmlns="http://schemas.openxmlformats.org/spreadsheetml/2006/main" name="PivotTable10" cacheId="2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I74:J78" firstHeaderRow="1" firstDataRow="1" firstDataCol="1"/>
  <pivotFields count="2">
    <pivotField axis="axisRow" showAll="0">
      <items count="4">
        <item x="1"/>
        <item x="2"/>
        <item x="0"/>
        <item t="default"/>
      </items>
    </pivotField>
    <pivotField dataField="1" numFmtId="43" showAll="0">
      <items count="6">
        <item x="2"/>
        <item x="3"/>
        <item x="4"/>
        <item x="0"/>
        <item x="1"/>
        <item t="default"/>
      </items>
    </pivotField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Sum of -2,580,493.27 " fld="1" baseField="0" baseItem="0"/>
  </dataFields>
  <formats count="8">
    <format dxfId="289">
      <pivotArea collapsedLevelsAreSubtotals="1" fieldPosition="0">
        <references count="1">
          <reference field="0" count="0"/>
        </references>
      </pivotArea>
    </format>
    <format dxfId="288">
      <pivotArea grandRow="1" outline="0" collapsedLevelsAreSubtotals="1" fieldPosition="0"/>
    </format>
    <format dxfId="287">
      <pivotArea collapsedLevelsAreSubtotals="1" fieldPosition="0">
        <references count="1">
          <reference field="0" count="1">
            <x v="0"/>
          </reference>
        </references>
      </pivotArea>
    </format>
    <format dxfId="286">
      <pivotArea dataOnly="0" labelOnly="1" fieldPosition="0">
        <references count="1">
          <reference field="0" count="1">
            <x v="0"/>
          </reference>
        </references>
      </pivotArea>
    </format>
    <format dxfId="285">
      <pivotArea collapsedLevelsAreSubtotals="1" fieldPosition="0">
        <references count="1">
          <reference field="0" count="1">
            <x v="1"/>
          </reference>
        </references>
      </pivotArea>
    </format>
    <format dxfId="284">
      <pivotArea dataOnly="0" labelOnly="1" fieldPosition="0">
        <references count="1">
          <reference field="0" count="1">
            <x v="1"/>
          </reference>
        </references>
      </pivotArea>
    </format>
    <format dxfId="283">
      <pivotArea collapsedLevelsAreSubtotals="1" fieldPosition="0">
        <references count="1">
          <reference field="0" count="1">
            <x v="2"/>
          </reference>
        </references>
      </pivotArea>
    </format>
    <format dxfId="282">
      <pivotArea dataOnly="0" labelOnly="1" fieldPosition="0">
        <references count="1">
          <reference field="0" count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5" cacheId="25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X10:Y30" firstHeaderRow="1" firstDataRow="1" firstDataCol="1"/>
  <pivotFields count="2">
    <pivotField axis="axisRow" showAll="0">
      <items count="20">
        <item x="1"/>
        <item x="5"/>
        <item x="3"/>
        <item x="13"/>
        <item x="11"/>
        <item x="9"/>
        <item x="6"/>
        <item x="12"/>
        <item x="10"/>
        <item x="16"/>
        <item x="14"/>
        <item x="0"/>
        <item x="15"/>
        <item x="2"/>
        <item x="8"/>
        <item x="18"/>
        <item x="4"/>
        <item x="17"/>
        <item x="7"/>
        <item t="default"/>
      </items>
    </pivotField>
    <pivotField dataField="1" numFmtId="43" showAll="0"/>
  </pivotFields>
  <rowFields count="1">
    <field x="0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Items count="1">
    <i/>
  </colItems>
  <dataFields count="1">
    <dataField name="Sum of -17,639,654.57 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7" cacheId="28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J19:AK26" firstHeaderRow="1" firstDataRow="1" firstDataCol="1"/>
  <pivotFields count="2">
    <pivotField axis="axisRow" showAll="0">
      <items count="7">
        <item x="3"/>
        <item x="1"/>
        <item x="5"/>
        <item x="0"/>
        <item x="4"/>
        <item x="2"/>
        <item t="default"/>
      </items>
    </pivotField>
    <pivotField dataField="1" numFmtId="43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 of -695,938.21 " fld="1" baseField="0" baseItem="0" numFmtId="43"/>
  </dataFields>
  <formats count="23">
    <format dxfId="49">
      <pivotArea outline="0" collapsedLevelsAreSubtotals="1" fieldPosition="0"/>
    </format>
    <format dxfId="48">
      <pivotArea dataOnly="0" labelOnly="1" outline="0" axis="axisValues" fieldPosition="0"/>
    </format>
    <format dxfId="47">
      <pivotArea collapsedLevelsAreSubtotals="1" fieldPosition="0">
        <references count="1">
          <reference field="0" count="2">
            <x v="0"/>
            <x v="1"/>
          </reference>
        </references>
      </pivotArea>
    </format>
    <format dxfId="46">
      <pivotArea dataOnly="0" labelOnly="1" fieldPosition="0">
        <references count="1">
          <reference field="0" count="2">
            <x v="0"/>
            <x v="1"/>
          </reference>
        </references>
      </pivotArea>
    </format>
    <format dxfId="45">
      <pivotArea collapsedLevelsAreSubtotals="1" fieldPosition="0">
        <references count="1">
          <reference field="0" count="1">
            <x v="2"/>
          </reference>
        </references>
      </pivotArea>
    </format>
    <format dxfId="44">
      <pivotArea dataOnly="0" labelOnly="1" fieldPosition="0">
        <references count="1">
          <reference field="0" count="1">
            <x v="2"/>
          </reference>
        </references>
      </pivotArea>
    </format>
    <format dxfId="43">
      <pivotArea collapsedLevelsAreSubtotals="1" fieldPosition="0">
        <references count="1">
          <reference field="0" count="1">
            <x v="3"/>
          </reference>
        </references>
      </pivotArea>
    </format>
    <format dxfId="42">
      <pivotArea dataOnly="0" labelOnly="1" fieldPosition="0">
        <references count="1">
          <reference field="0" count="1">
            <x v="3"/>
          </reference>
        </references>
      </pivotArea>
    </format>
    <format dxfId="41">
      <pivotArea collapsedLevelsAreSubtotals="1" fieldPosition="0">
        <references count="1">
          <reference field="0" count="1">
            <x v="4"/>
          </reference>
        </references>
      </pivotArea>
    </format>
    <format dxfId="40">
      <pivotArea dataOnly="0" labelOnly="1" fieldPosition="0">
        <references count="1">
          <reference field="0" count="1">
            <x v="4"/>
          </reference>
        </references>
      </pivotArea>
    </format>
    <format dxfId="39">
      <pivotArea dataOnly="0" fieldPosition="0">
        <references count="1">
          <reference field="0" count="1">
            <x v="5"/>
          </reference>
        </references>
      </pivotArea>
    </format>
    <format dxfId="38">
      <pivotArea collapsedLevelsAreSubtotals="1" fieldPosition="0">
        <references count="1">
          <reference field="0" count="1">
            <x v="0"/>
          </reference>
        </references>
      </pivotArea>
    </format>
    <format dxfId="37">
      <pivotArea dataOnly="0" labelOnly="1" fieldPosition="0">
        <references count="1">
          <reference field="0" count="1">
            <x v="0"/>
          </reference>
        </references>
      </pivotArea>
    </format>
    <format dxfId="36">
      <pivotArea collapsedLevelsAreSubtotals="1" fieldPosition="0">
        <references count="1">
          <reference field="0" count="1">
            <x v="1"/>
          </reference>
        </references>
      </pivotArea>
    </format>
    <format dxfId="35">
      <pivotArea dataOnly="0" labelOnly="1" fieldPosition="0">
        <references count="1">
          <reference field="0" count="1">
            <x v="1"/>
          </reference>
        </references>
      </pivotArea>
    </format>
    <format dxfId="34">
      <pivotArea collapsedLevelsAreSubtotals="1" fieldPosition="0">
        <references count="1">
          <reference field="0" count="1">
            <x v="2"/>
          </reference>
        </references>
      </pivotArea>
    </format>
    <format dxfId="33">
      <pivotArea dataOnly="0" labelOnly="1" fieldPosition="0">
        <references count="1">
          <reference field="0" count="1">
            <x v="2"/>
          </reference>
        </references>
      </pivotArea>
    </format>
    <format dxfId="32">
      <pivotArea collapsedLevelsAreSubtotals="1" fieldPosition="0">
        <references count="1">
          <reference field="0" count="1">
            <x v="3"/>
          </reference>
        </references>
      </pivotArea>
    </format>
    <format dxfId="31">
      <pivotArea dataOnly="0" labelOnly="1" fieldPosition="0">
        <references count="1">
          <reference field="0" count="1">
            <x v="3"/>
          </reference>
        </references>
      </pivotArea>
    </format>
    <format dxfId="30">
      <pivotArea collapsedLevelsAreSubtotals="1" fieldPosition="0">
        <references count="1">
          <reference field="0" count="1">
            <x v="4"/>
          </reference>
        </references>
      </pivotArea>
    </format>
    <format dxfId="29">
      <pivotArea dataOnly="0" labelOnly="1" fieldPosition="0">
        <references count="1">
          <reference field="0" count="1">
            <x v="4"/>
          </reference>
        </references>
      </pivotArea>
    </format>
    <format dxfId="28">
      <pivotArea collapsedLevelsAreSubtotals="1" fieldPosition="0">
        <references count="1">
          <reference field="0" count="1">
            <x v="5"/>
          </reference>
        </references>
      </pivotArea>
    </format>
    <format dxfId="27">
      <pivotArea dataOnly="0" labelOnly="1" fieldPosition="0">
        <references count="1">
          <reference field="0" count="1"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9" cacheId="19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H44:I51" firstHeaderRow="1" firstDataRow="1" firstDataCol="1"/>
  <pivotFields count="2">
    <pivotField axis="axisRow" showAll="0">
      <items count="7">
        <item x="1"/>
        <item x="2"/>
        <item x="3"/>
        <item x="4"/>
        <item x="0"/>
        <item x="5"/>
        <item t="default"/>
      </items>
    </pivotField>
    <pivotField dataField="1" numFmtId="43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 of -956,139.58 " fld="1" baseField="0" baseItem="0" numFmtId="43"/>
  </dataFields>
  <formats count="13">
    <format dxfId="62">
      <pivotArea outline="0" collapsedLevelsAreSubtotals="1" fieldPosition="0"/>
    </format>
    <format dxfId="61">
      <pivotArea dataOnly="0" labelOnly="1" outline="0" axis="axisValues" fieldPosition="0"/>
    </format>
    <format dxfId="60">
      <pivotArea collapsedLevelsAreSubtotals="1" fieldPosition="0">
        <references count="1">
          <reference field="0" count="1">
            <x v="0"/>
          </reference>
        </references>
      </pivotArea>
    </format>
    <format dxfId="59">
      <pivotArea dataOnly="0" labelOnly="1" fieldPosition="0">
        <references count="1">
          <reference field="0" count="1">
            <x v="0"/>
          </reference>
        </references>
      </pivotArea>
    </format>
    <format dxfId="58">
      <pivotArea dataOnly="0" fieldPosition="0">
        <references count="1">
          <reference field="0" count="1">
            <x v="1"/>
          </reference>
        </references>
      </pivotArea>
    </format>
    <format dxfId="57">
      <pivotArea collapsedLevelsAreSubtotals="1" fieldPosition="0">
        <references count="1">
          <reference field="0" count="1">
            <x v="2"/>
          </reference>
        </references>
      </pivotArea>
    </format>
    <format dxfId="56">
      <pivotArea dataOnly="0" labelOnly="1" fieldPosition="0">
        <references count="1">
          <reference field="0" count="1">
            <x v="2"/>
          </reference>
        </references>
      </pivotArea>
    </format>
    <format dxfId="55">
      <pivotArea collapsedLevelsAreSubtotals="1" fieldPosition="0">
        <references count="1">
          <reference field="0" count="1">
            <x v="3"/>
          </reference>
        </references>
      </pivotArea>
    </format>
    <format dxfId="54">
      <pivotArea dataOnly="0" labelOnly="1" fieldPosition="0">
        <references count="1">
          <reference field="0" count="1">
            <x v="3"/>
          </reference>
        </references>
      </pivotArea>
    </format>
    <format dxfId="53">
      <pivotArea collapsedLevelsAreSubtotals="1" fieldPosition="0">
        <references count="1">
          <reference field="0" count="1">
            <x v="4"/>
          </reference>
        </references>
      </pivotArea>
    </format>
    <format dxfId="52">
      <pivotArea dataOnly="0" labelOnly="1" fieldPosition="0">
        <references count="1">
          <reference field="0" count="1">
            <x v="4"/>
          </reference>
        </references>
      </pivotArea>
    </format>
    <format dxfId="51">
      <pivotArea collapsedLevelsAreSubtotals="1" fieldPosition="0">
        <references count="1">
          <reference field="0" count="1">
            <x v="5"/>
          </reference>
        </references>
      </pivotArea>
    </format>
    <format dxfId="50">
      <pivotArea dataOnly="0" labelOnly="1" fieldPosition="0">
        <references count="1">
          <reference field="0" count="1"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13" cacheId="25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A10:AB30" firstHeaderRow="1" firstDataRow="1" firstDataCol="1"/>
  <pivotFields count="2">
    <pivotField axis="axisRow" showAll="0">
      <items count="20">
        <item x="1"/>
        <item x="5"/>
        <item x="3"/>
        <item x="13"/>
        <item x="11"/>
        <item x="9"/>
        <item x="6"/>
        <item x="12"/>
        <item x="10"/>
        <item x="16"/>
        <item x="14"/>
        <item x="0"/>
        <item x="15"/>
        <item x="2"/>
        <item x="8"/>
        <item x="18"/>
        <item x="4"/>
        <item x="17"/>
        <item x="7"/>
        <item t="default"/>
      </items>
    </pivotField>
    <pivotField dataField="1" numFmtId="43" showAll="0"/>
  </pivotFields>
  <rowFields count="1">
    <field x="0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Items count="1">
    <i/>
  </colItems>
  <dataFields count="1">
    <dataField name="Sum of -17,639,654.57 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16" cacheId="25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U10:V30" firstHeaderRow="1" firstDataRow="1" firstDataCol="1"/>
  <pivotFields count="2">
    <pivotField axis="axisRow" showAll="0">
      <items count="20">
        <item x="1"/>
        <item x="5"/>
        <item x="3"/>
        <item x="13"/>
        <item x="11"/>
        <item x="9"/>
        <item x="6"/>
        <item x="12"/>
        <item x="10"/>
        <item x="16"/>
        <item x="14"/>
        <item x="0"/>
        <item x="15"/>
        <item x="2"/>
        <item x="8"/>
        <item x="18"/>
        <item x="4"/>
        <item x="17"/>
        <item x="7"/>
        <item t="default"/>
      </items>
    </pivotField>
    <pivotField dataField="1" numFmtId="43" showAll="0"/>
  </pivotFields>
  <rowFields count="1">
    <field x="0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Items count="1">
    <i/>
  </colItems>
  <dataFields count="1">
    <dataField name="Sum of -17,639,654.57 " fld="1" baseField="0" baseItem="0" numFmtId="43"/>
  </dataFields>
  <formats count="62">
    <format dxfId="124">
      <pivotArea outline="0" collapsedLevelsAreSubtotals="1" fieldPosition="0"/>
    </format>
    <format dxfId="123">
      <pivotArea dataOnly="0" labelOnly="1" outline="0" axis="axisValues" fieldPosition="0"/>
    </format>
    <format dxfId="122">
      <pivotArea collapsedLevelsAreSubtotals="1" fieldPosition="0">
        <references count="1">
          <reference field="0" count="2">
            <x v="0"/>
            <x v="1"/>
          </reference>
        </references>
      </pivotArea>
    </format>
    <format dxfId="121">
      <pivotArea dataOnly="0" labelOnly="1" fieldPosition="0">
        <references count="1">
          <reference field="0" count="2">
            <x v="0"/>
            <x v="1"/>
          </reference>
        </references>
      </pivotArea>
    </format>
    <format dxfId="120">
      <pivotArea collapsedLevelsAreSubtotals="1" fieldPosition="0">
        <references count="1">
          <reference field="0" count="1">
            <x v="2"/>
          </reference>
        </references>
      </pivotArea>
    </format>
    <format dxfId="119">
      <pivotArea dataOnly="0" labelOnly="1" fieldPosition="0">
        <references count="1">
          <reference field="0" count="1">
            <x v="2"/>
          </reference>
        </references>
      </pivotArea>
    </format>
    <format dxfId="118">
      <pivotArea collapsedLevelsAreSubtotals="1" fieldPosition="0">
        <references count="1">
          <reference field="0" count="1">
            <x v="3"/>
          </reference>
        </references>
      </pivotArea>
    </format>
    <format dxfId="117">
      <pivotArea dataOnly="0" labelOnly="1" fieldPosition="0">
        <references count="1">
          <reference field="0" count="1">
            <x v="3"/>
          </reference>
        </references>
      </pivotArea>
    </format>
    <format dxfId="116">
      <pivotArea collapsedLevelsAreSubtotals="1" fieldPosition="0">
        <references count="1">
          <reference field="0" count="1">
            <x v="4"/>
          </reference>
        </references>
      </pivotArea>
    </format>
    <format dxfId="115">
      <pivotArea dataOnly="0" labelOnly="1" fieldPosition="0">
        <references count="1">
          <reference field="0" count="1">
            <x v="4"/>
          </reference>
        </references>
      </pivotArea>
    </format>
    <format dxfId="114">
      <pivotArea dataOnly="0" fieldPosition="0">
        <references count="1">
          <reference field="0" count="1">
            <x v="5"/>
          </reference>
        </references>
      </pivotArea>
    </format>
    <format dxfId="113">
      <pivotArea collapsedLevelsAreSubtotals="1" fieldPosition="0">
        <references count="1">
          <reference field="0" count="1">
            <x v="6"/>
          </reference>
        </references>
      </pivotArea>
    </format>
    <format dxfId="112">
      <pivotArea dataOnly="0" labelOnly="1" fieldPosition="0">
        <references count="1">
          <reference field="0" count="1">
            <x v="6"/>
          </reference>
        </references>
      </pivotArea>
    </format>
    <format dxfId="111">
      <pivotArea collapsedLevelsAreSubtotals="1" fieldPosition="0">
        <references count="1">
          <reference field="0" count="1">
            <x v="7"/>
          </reference>
        </references>
      </pivotArea>
    </format>
    <format dxfId="110">
      <pivotArea dataOnly="0" labelOnly="1" fieldPosition="0">
        <references count="1">
          <reference field="0" count="1">
            <x v="7"/>
          </reference>
        </references>
      </pivotArea>
    </format>
    <format dxfId="109">
      <pivotArea collapsedLevelsAreSubtotals="1" fieldPosition="0">
        <references count="1">
          <reference field="0" count="1">
            <x v="8"/>
          </reference>
        </references>
      </pivotArea>
    </format>
    <format dxfId="108">
      <pivotArea dataOnly="0" labelOnly="1" fieldPosition="0">
        <references count="1">
          <reference field="0" count="1">
            <x v="8"/>
          </reference>
        </references>
      </pivotArea>
    </format>
    <format dxfId="107">
      <pivotArea collapsedLevelsAreSubtotals="1" fieldPosition="0">
        <references count="1">
          <reference field="0" count="1">
            <x v="9"/>
          </reference>
        </references>
      </pivotArea>
    </format>
    <format dxfId="106">
      <pivotArea dataOnly="0" labelOnly="1" fieldPosition="0">
        <references count="1">
          <reference field="0" count="1">
            <x v="9"/>
          </reference>
        </references>
      </pivotArea>
    </format>
    <format dxfId="105">
      <pivotArea collapsedLevelsAreSubtotals="1" fieldPosition="0">
        <references count="1">
          <reference field="0" count="1">
            <x v="10"/>
          </reference>
        </references>
      </pivotArea>
    </format>
    <format dxfId="104">
      <pivotArea dataOnly="0" labelOnly="1" fieldPosition="0">
        <references count="1">
          <reference field="0" count="1">
            <x v="10"/>
          </reference>
        </references>
      </pivotArea>
    </format>
    <format dxfId="103">
      <pivotArea dataOnly="0" fieldPosition="0">
        <references count="1">
          <reference field="0" count="1">
            <x v="11"/>
          </reference>
        </references>
      </pivotArea>
    </format>
    <format dxfId="102">
      <pivotArea collapsedLevelsAreSubtotals="1" fieldPosition="0">
        <references count="1">
          <reference field="0" count="1">
            <x v="12"/>
          </reference>
        </references>
      </pivotArea>
    </format>
    <format dxfId="101">
      <pivotArea dataOnly="0" labelOnly="1" fieldPosition="0">
        <references count="1">
          <reference field="0" count="1">
            <x v="12"/>
          </reference>
        </references>
      </pivotArea>
    </format>
    <format dxfId="100">
      <pivotArea collapsedLevelsAreSubtotals="1" fieldPosition="0">
        <references count="1">
          <reference field="0" count="1">
            <x v="13"/>
          </reference>
        </references>
      </pivotArea>
    </format>
    <format dxfId="99">
      <pivotArea dataOnly="0" labelOnly="1" fieldPosition="0">
        <references count="1">
          <reference field="0" count="1">
            <x v="13"/>
          </reference>
        </references>
      </pivotArea>
    </format>
    <format dxfId="98">
      <pivotArea collapsedLevelsAreSubtotals="1" fieldPosition="0">
        <references count="1">
          <reference field="0" count="1">
            <x v="14"/>
          </reference>
        </references>
      </pivotArea>
    </format>
    <format dxfId="97">
      <pivotArea dataOnly="0" labelOnly="1" fieldPosition="0">
        <references count="1">
          <reference field="0" count="1">
            <x v="14"/>
          </reference>
        </references>
      </pivotArea>
    </format>
    <format dxfId="96">
      <pivotArea collapsedLevelsAreSubtotals="1" fieldPosition="0">
        <references count="1">
          <reference field="0" count="1">
            <x v="15"/>
          </reference>
        </references>
      </pivotArea>
    </format>
    <format dxfId="95">
      <pivotArea dataOnly="0" labelOnly="1" fieldPosition="0">
        <references count="1">
          <reference field="0" count="1">
            <x v="15"/>
          </reference>
        </references>
      </pivotArea>
    </format>
    <format dxfId="94">
      <pivotArea collapsedLevelsAreSubtotals="1" fieldPosition="0">
        <references count="1">
          <reference field="0" count="1">
            <x v="16"/>
          </reference>
        </references>
      </pivotArea>
    </format>
    <format dxfId="93">
      <pivotArea dataOnly="0" labelOnly="1" fieldPosition="0">
        <references count="1">
          <reference field="0" count="1">
            <x v="16"/>
          </reference>
        </references>
      </pivotArea>
    </format>
    <format dxfId="92">
      <pivotArea collapsedLevelsAreSubtotals="1" fieldPosition="0">
        <references count="1">
          <reference field="0" count="1">
            <x v="17"/>
          </reference>
        </references>
      </pivotArea>
    </format>
    <format dxfId="91">
      <pivotArea dataOnly="0" labelOnly="1" fieldPosition="0">
        <references count="1">
          <reference field="0" count="1">
            <x v="17"/>
          </reference>
        </references>
      </pivotArea>
    </format>
    <format dxfId="90">
      <pivotArea collapsedLevelsAreSubtotals="1" fieldPosition="0">
        <references count="1">
          <reference field="0" count="1">
            <x v="18"/>
          </reference>
        </references>
      </pivotArea>
    </format>
    <format dxfId="89">
      <pivotArea dataOnly="0" labelOnly="1" fieldPosition="0">
        <references count="1">
          <reference field="0" count="1">
            <x v="18"/>
          </reference>
        </references>
      </pivotArea>
    </format>
    <format dxfId="88">
      <pivotArea collapsedLevelsAreSubtotals="1" fieldPosition="0">
        <references count="1">
          <reference field="0" count="2">
            <x v="0"/>
            <x v="1"/>
          </reference>
        </references>
      </pivotArea>
    </format>
    <format dxfId="87">
      <pivotArea dataOnly="0" labelOnly="1" fieldPosition="0">
        <references count="1">
          <reference field="0" count="2">
            <x v="0"/>
            <x v="1"/>
          </reference>
        </references>
      </pivotArea>
    </format>
    <format dxfId="86">
      <pivotArea collapsedLevelsAreSubtotals="1" fieldPosition="0">
        <references count="1">
          <reference field="0" count="1">
            <x v="2"/>
          </reference>
        </references>
      </pivotArea>
    </format>
    <format dxfId="85">
      <pivotArea dataOnly="0" labelOnly="1" fieldPosition="0">
        <references count="1">
          <reference field="0" count="1">
            <x v="2"/>
          </reference>
        </references>
      </pivotArea>
    </format>
    <format dxfId="84">
      <pivotArea collapsedLevelsAreSubtotals="1" fieldPosition="0">
        <references count="1">
          <reference field="0" count="16"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</reference>
        </references>
      </pivotArea>
    </format>
    <format dxfId="83">
      <pivotArea collapsedLevelsAreSubtotals="1" fieldPosition="0">
        <references count="1">
          <reference field="0" count="1">
            <x v="3"/>
          </reference>
        </references>
      </pivotArea>
    </format>
    <format dxfId="82">
      <pivotArea dataOnly="0" labelOnly="1" fieldPosition="0">
        <references count="1">
          <reference field="0" count="1">
            <x v="3"/>
          </reference>
        </references>
      </pivotArea>
    </format>
    <format dxfId="81">
      <pivotArea dataOnly="0" labelOnly="1" fieldPosition="0">
        <references count="1">
          <reference field="0" count="1">
            <x v="4"/>
          </reference>
        </references>
      </pivotArea>
    </format>
    <format dxfId="80">
      <pivotArea dataOnly="0" labelOnly="1" fieldPosition="0">
        <references count="1">
          <reference field="0" count="1">
            <x v="5"/>
          </reference>
        </references>
      </pivotArea>
    </format>
    <format dxfId="79">
      <pivotArea dataOnly="0" labelOnly="1" fieldPosition="0">
        <references count="1">
          <reference field="0" count="1">
            <x v="6"/>
          </reference>
        </references>
      </pivotArea>
    </format>
    <format dxfId="78">
      <pivotArea dataOnly="0" labelOnly="1" fieldPosition="0">
        <references count="1">
          <reference field="0" count="1">
            <x v="7"/>
          </reference>
        </references>
      </pivotArea>
    </format>
    <format dxfId="77">
      <pivotArea dataOnly="0" labelOnly="1" fieldPosition="0">
        <references count="1">
          <reference field="0" count="1">
            <x v="8"/>
          </reference>
        </references>
      </pivotArea>
    </format>
    <format dxfId="76">
      <pivotArea collapsedLevelsAreSubtotals="1" fieldPosition="0">
        <references count="1">
          <reference field="0" count="1">
            <x v="9"/>
          </reference>
        </references>
      </pivotArea>
    </format>
    <format dxfId="75">
      <pivotArea dataOnly="0" labelOnly="1" fieldPosition="0">
        <references count="1">
          <reference field="0" count="1">
            <x v="9"/>
          </reference>
        </references>
      </pivotArea>
    </format>
    <format dxfId="74">
      <pivotArea dataOnly="0" labelOnly="1" fieldPosition="0">
        <references count="1">
          <reference field="0" count="1">
            <x v="10"/>
          </reference>
        </references>
      </pivotArea>
    </format>
    <format dxfId="73">
      <pivotArea collapsedLevelsAreSubtotals="1" fieldPosition="0">
        <references count="1">
          <reference field="0" count="1">
            <x v="11"/>
          </reference>
        </references>
      </pivotArea>
    </format>
    <format dxfId="72">
      <pivotArea dataOnly="0" labelOnly="1" fieldPosition="0">
        <references count="1">
          <reference field="0" count="1">
            <x v="11"/>
          </reference>
        </references>
      </pivotArea>
    </format>
    <format dxfId="71">
      <pivotArea collapsedLevelsAreSubtotals="1" fieldPosition="0">
        <references count="1">
          <reference field="0" count="1">
            <x v="12"/>
          </reference>
        </references>
      </pivotArea>
    </format>
    <format dxfId="70">
      <pivotArea dataOnly="0" labelOnly="1" fieldPosition="0">
        <references count="1">
          <reference field="0" count="1">
            <x v="12"/>
          </reference>
        </references>
      </pivotArea>
    </format>
    <format dxfId="69">
      <pivotArea dataOnly="0" labelOnly="1" fieldPosition="0">
        <references count="1">
          <reference field="0" count="1">
            <x v="13"/>
          </reference>
        </references>
      </pivotArea>
    </format>
    <format dxfId="68">
      <pivotArea dataOnly="0" labelOnly="1" fieldPosition="0">
        <references count="1">
          <reference field="0" count="1">
            <x v="14"/>
          </reference>
        </references>
      </pivotArea>
    </format>
    <format dxfId="67">
      <pivotArea dataOnly="0" labelOnly="1" fieldPosition="0">
        <references count="1">
          <reference field="0" count="1">
            <x v="15"/>
          </reference>
        </references>
      </pivotArea>
    </format>
    <format dxfId="66">
      <pivotArea collapsedLevelsAreSubtotals="1" fieldPosition="0">
        <references count="1">
          <reference field="0" count="1">
            <x v="16"/>
          </reference>
        </references>
      </pivotArea>
    </format>
    <format dxfId="65">
      <pivotArea dataOnly="0" labelOnly="1" fieldPosition="0">
        <references count="1">
          <reference field="0" count="1">
            <x v="16"/>
          </reference>
        </references>
      </pivotArea>
    </format>
    <format dxfId="64">
      <pivotArea dataOnly="0" labelOnly="1" fieldPosition="0">
        <references count="1">
          <reference field="0" count="1">
            <x v="17"/>
          </reference>
        </references>
      </pivotArea>
    </format>
    <format dxfId="63">
      <pivotArea dataOnly="0" labelOnly="1" fieldPosition="0">
        <references count="1">
          <reference field="0" count="1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PivotTable3" cacheId="1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C42:D49" firstHeaderRow="1" firstDataRow="1" firstDataCol="1"/>
  <pivotFields count="2">
    <pivotField axis="axisRow" showAll="0">
      <items count="7">
        <item x="1"/>
        <item x="2"/>
        <item x="0"/>
        <item x="3"/>
        <item x="4"/>
        <item x="5"/>
        <item t="default"/>
      </items>
    </pivotField>
    <pivotField dataField="1" numFmtId="43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 of -783,135.31 " fld="1" baseField="0" baseItem="0"/>
  </dataFields>
  <formats count="8">
    <format dxfId="132">
      <pivotArea collapsedLevelsAreSubtotals="1" fieldPosition="0">
        <references count="1">
          <reference field="0" count="2">
            <x v="0"/>
            <x v="1"/>
          </reference>
        </references>
      </pivotArea>
    </format>
    <format dxfId="131">
      <pivotArea dataOnly="0" labelOnly="1" fieldPosition="0">
        <references count="1">
          <reference field="0" count="2">
            <x v="0"/>
            <x v="1"/>
          </reference>
        </references>
      </pivotArea>
    </format>
    <format dxfId="130">
      <pivotArea collapsedLevelsAreSubtotals="1" fieldPosition="0">
        <references count="1">
          <reference field="0" count="1">
            <x v="2"/>
          </reference>
        </references>
      </pivotArea>
    </format>
    <format dxfId="129">
      <pivotArea dataOnly="0" labelOnly="1" fieldPosition="0">
        <references count="1">
          <reference field="0" count="1">
            <x v="2"/>
          </reference>
        </references>
      </pivotArea>
    </format>
    <format dxfId="128">
      <pivotArea collapsedLevelsAreSubtotals="1" fieldPosition="0">
        <references count="1">
          <reference field="0" count="2">
            <x v="3"/>
            <x v="4"/>
          </reference>
        </references>
      </pivotArea>
    </format>
    <format dxfId="127">
      <pivotArea dataOnly="0" labelOnly="1" fieldPosition="0">
        <references count="1">
          <reference field="0" count="2">
            <x v="3"/>
            <x v="4"/>
          </reference>
        </references>
      </pivotArea>
    </format>
    <format dxfId="126">
      <pivotArea collapsedLevelsAreSubtotals="1" fieldPosition="0">
        <references count="1">
          <reference field="0" count="1">
            <x v="5"/>
          </reference>
        </references>
      </pivotArea>
    </format>
    <format dxfId="125">
      <pivotArea dataOnly="0" labelOnly="1" fieldPosition="0">
        <references count="1">
          <reference field="0" count="1"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PivotTable12" cacheId="2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V123:W133" firstHeaderRow="1" firstDataRow="1" firstDataCol="1"/>
  <pivotFields count="2">
    <pivotField axis="axisRow" showAll="0">
      <items count="10">
        <item x="6"/>
        <item x="2"/>
        <item x="4"/>
        <item x="5"/>
        <item x="7"/>
        <item x="8"/>
        <item x="3"/>
        <item x="1"/>
        <item x="0"/>
        <item t="default"/>
      </items>
    </pivotField>
    <pivotField dataField="1" numFmtId="43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Sum of -6,395,389.35 " fld="1" baseField="0" baseItem="0"/>
  </dataFields>
  <formats count="34">
    <format dxfId="166">
      <pivotArea collapsedLevelsAreSubtotals="1" fieldPosition="0">
        <references count="1">
          <reference field="0" count="0"/>
        </references>
      </pivotArea>
    </format>
    <format dxfId="165">
      <pivotArea grandRow="1" outline="0" collapsedLevelsAreSubtotals="1" fieldPosition="0"/>
    </format>
    <format dxfId="164">
      <pivotArea collapsedLevelsAreSubtotals="1" fieldPosition="0">
        <references count="1">
          <reference field="0" count="2">
            <x v="0"/>
            <x v="1"/>
          </reference>
        </references>
      </pivotArea>
    </format>
    <format dxfId="163">
      <pivotArea collapsedLevelsAreSubtotals="1" fieldPosition="0">
        <references count="1">
          <reference field="0" count="2">
            <x v="0"/>
            <x v="1"/>
          </reference>
        </references>
      </pivotArea>
    </format>
    <format dxfId="162">
      <pivotArea dataOnly="0" labelOnly="1" fieldPosition="0">
        <references count="1">
          <reference field="0" count="2">
            <x v="0"/>
            <x v="1"/>
          </reference>
        </references>
      </pivotArea>
    </format>
    <format dxfId="161">
      <pivotArea collapsedLevelsAreSubtotals="1" fieldPosition="0">
        <references count="1">
          <reference field="0" count="1">
            <x v="2"/>
          </reference>
        </references>
      </pivotArea>
    </format>
    <format dxfId="160">
      <pivotArea dataOnly="0" labelOnly="1" fieldPosition="0">
        <references count="1">
          <reference field="0" count="1">
            <x v="2"/>
          </reference>
        </references>
      </pivotArea>
    </format>
    <format dxfId="159">
      <pivotArea collapsedLevelsAreSubtotals="1" fieldPosition="0">
        <references count="1">
          <reference field="0" count="1">
            <x v="3"/>
          </reference>
        </references>
      </pivotArea>
    </format>
    <format dxfId="158">
      <pivotArea dataOnly="0" labelOnly="1" fieldPosition="0">
        <references count="1">
          <reference field="0" count="1">
            <x v="3"/>
          </reference>
        </references>
      </pivotArea>
    </format>
    <format dxfId="157">
      <pivotArea collapsedLevelsAreSubtotals="1" fieldPosition="0">
        <references count="1">
          <reference field="0" count="1">
            <x v="4"/>
          </reference>
        </references>
      </pivotArea>
    </format>
    <format dxfId="156">
      <pivotArea dataOnly="0" labelOnly="1" fieldPosition="0">
        <references count="1">
          <reference field="0" count="1">
            <x v="4"/>
          </reference>
        </references>
      </pivotArea>
    </format>
    <format dxfId="155">
      <pivotArea collapsedLevelsAreSubtotals="1" fieldPosition="0">
        <references count="1">
          <reference field="0" count="1">
            <x v="5"/>
          </reference>
        </references>
      </pivotArea>
    </format>
    <format dxfId="154">
      <pivotArea dataOnly="0" labelOnly="1" fieldPosition="0">
        <references count="1">
          <reference field="0" count="1">
            <x v="5"/>
          </reference>
        </references>
      </pivotArea>
    </format>
    <format dxfId="153">
      <pivotArea collapsedLevelsAreSubtotals="1" fieldPosition="0">
        <references count="1">
          <reference field="0" count="1">
            <x v="6"/>
          </reference>
        </references>
      </pivotArea>
    </format>
    <format dxfId="152">
      <pivotArea dataOnly="0" labelOnly="1" fieldPosition="0">
        <references count="1">
          <reference field="0" count="1">
            <x v="6"/>
          </reference>
        </references>
      </pivotArea>
    </format>
    <format dxfId="151">
      <pivotArea collapsedLevelsAreSubtotals="1" fieldPosition="0">
        <references count="1">
          <reference field="0" count="2">
            <x v="7"/>
            <x v="8"/>
          </reference>
        </references>
      </pivotArea>
    </format>
    <format dxfId="150">
      <pivotArea collapsedLevelsAreSubtotals="1" fieldPosition="0">
        <references count="1">
          <reference field="0" count="1">
            <x v="8"/>
          </reference>
        </references>
      </pivotArea>
    </format>
    <format dxfId="149">
      <pivotArea collapsedLevelsAreSubtotals="1" fieldPosition="0">
        <references count="1">
          <reference field="0" count="1">
            <x v="7"/>
          </reference>
        </references>
      </pivotArea>
    </format>
    <format dxfId="148">
      <pivotArea collapsedLevelsAreSubtotals="1" fieldPosition="0">
        <references count="1">
          <reference field="0" count="2">
            <x v="7"/>
            <x v="8"/>
          </reference>
        </references>
      </pivotArea>
    </format>
    <format dxfId="147">
      <pivotArea dataOnly="0" labelOnly="1" fieldPosition="0">
        <references count="1">
          <reference field="0" count="2">
            <x v="7"/>
            <x v="8"/>
          </reference>
        </references>
      </pivotArea>
    </format>
    <format dxfId="146">
      <pivotArea collapsedLevelsAreSubtotals="1" fieldPosition="0">
        <references count="1">
          <reference field="0" count="1">
            <x v="0"/>
          </reference>
        </references>
      </pivotArea>
    </format>
    <format dxfId="145">
      <pivotArea dataOnly="0" labelOnly="1" fieldPosition="0">
        <references count="1">
          <reference field="0" count="1">
            <x v="0"/>
          </reference>
        </references>
      </pivotArea>
    </format>
    <format dxfId="144">
      <pivotArea collapsedLevelsAreSubtotals="1" fieldPosition="0">
        <references count="1">
          <reference field="0" count="1">
            <x v="1"/>
          </reference>
        </references>
      </pivotArea>
    </format>
    <format dxfId="143">
      <pivotArea dataOnly="0" labelOnly="1" fieldPosition="0">
        <references count="1">
          <reference field="0" count="1">
            <x v="1"/>
          </reference>
        </references>
      </pivotArea>
    </format>
    <format dxfId="142">
      <pivotArea collapsedLevelsAreSubtotals="1" fieldPosition="0">
        <references count="1">
          <reference field="0" count="1">
            <x v="2"/>
          </reference>
        </references>
      </pivotArea>
    </format>
    <format dxfId="141">
      <pivotArea dataOnly="0" labelOnly="1" fieldPosition="0">
        <references count="1">
          <reference field="0" count="1">
            <x v="2"/>
          </reference>
        </references>
      </pivotArea>
    </format>
    <format dxfId="140">
      <pivotArea collapsedLevelsAreSubtotals="1" fieldPosition="0">
        <references count="1">
          <reference field="0" count="1">
            <x v="3"/>
          </reference>
        </references>
      </pivotArea>
    </format>
    <format dxfId="139">
      <pivotArea dataOnly="0" labelOnly="1" fieldPosition="0">
        <references count="1">
          <reference field="0" count="1">
            <x v="3"/>
          </reference>
        </references>
      </pivotArea>
    </format>
    <format dxfId="138">
      <pivotArea collapsedLevelsAreSubtotals="1" fieldPosition="0">
        <references count="1">
          <reference field="0" count="1">
            <x v="4"/>
          </reference>
        </references>
      </pivotArea>
    </format>
    <format dxfId="137">
      <pivotArea dataOnly="0" labelOnly="1" fieldPosition="0">
        <references count="1">
          <reference field="0" count="1">
            <x v="4"/>
          </reference>
        </references>
      </pivotArea>
    </format>
    <format dxfId="136">
      <pivotArea collapsedLevelsAreSubtotals="1" fieldPosition="0">
        <references count="1">
          <reference field="0" count="1">
            <x v="5"/>
          </reference>
        </references>
      </pivotArea>
    </format>
    <format dxfId="135">
      <pivotArea dataOnly="0" labelOnly="1" fieldPosition="0">
        <references count="1">
          <reference field="0" count="1">
            <x v="5"/>
          </reference>
        </references>
      </pivotArea>
    </format>
    <format dxfId="134">
      <pivotArea collapsedLevelsAreSubtotals="1" fieldPosition="0">
        <references count="1">
          <reference field="0" count="1">
            <x v="6"/>
          </reference>
        </references>
      </pivotArea>
    </format>
    <format dxfId="133">
      <pivotArea dataOnly="0" labelOnly="1" fieldPosition="0">
        <references count="1">
          <reference field="0" count="1">
            <x v="6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PivotTable14" cacheId="23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M10299:M10309" firstHeaderRow="1" firstDataRow="1" firstDataCol="1"/>
  <pivotFields count="2">
    <pivotField axis="axisRow" showAll="0">
      <items count="10">
        <item x="0"/>
        <item x="2"/>
        <item x="1"/>
        <item x="3"/>
        <item x="7"/>
        <item x="6"/>
        <item x="8"/>
        <item x="5"/>
        <item x="4"/>
        <item t="default"/>
      </items>
    </pivotField>
    <pivotField numFmtId="43" showAll="0" defaultSubtota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8.xml"/><Relationship Id="rId13" Type="http://schemas.openxmlformats.org/officeDocument/2006/relationships/pivotTable" Target="../pivotTables/pivotTable13.xml"/><Relationship Id="rId18" Type="http://schemas.openxmlformats.org/officeDocument/2006/relationships/pivotTable" Target="../pivotTables/pivotTable18.xml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12" Type="http://schemas.openxmlformats.org/officeDocument/2006/relationships/pivotTable" Target="../pivotTables/pivotTable12.xml"/><Relationship Id="rId17" Type="http://schemas.openxmlformats.org/officeDocument/2006/relationships/pivotTable" Target="../pivotTables/pivotTable17.xml"/><Relationship Id="rId2" Type="http://schemas.openxmlformats.org/officeDocument/2006/relationships/pivotTable" Target="../pivotTables/pivotTable2.xml"/><Relationship Id="rId16" Type="http://schemas.openxmlformats.org/officeDocument/2006/relationships/pivotTable" Target="../pivotTables/pivotTable16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11" Type="http://schemas.openxmlformats.org/officeDocument/2006/relationships/pivotTable" Target="../pivotTables/pivotTable11.xml"/><Relationship Id="rId5" Type="http://schemas.openxmlformats.org/officeDocument/2006/relationships/pivotTable" Target="../pivotTables/pivotTable5.xml"/><Relationship Id="rId15" Type="http://schemas.openxmlformats.org/officeDocument/2006/relationships/pivotTable" Target="../pivotTables/pivotTable15.xml"/><Relationship Id="rId10" Type="http://schemas.openxmlformats.org/officeDocument/2006/relationships/pivotTable" Target="../pivotTables/pivotTable10.xml"/><Relationship Id="rId19" Type="http://schemas.openxmlformats.org/officeDocument/2006/relationships/printerSettings" Target="../printerSettings/printerSettings2.bin"/><Relationship Id="rId4" Type="http://schemas.openxmlformats.org/officeDocument/2006/relationships/pivotTable" Target="../pivotTables/pivotTable4.xml"/><Relationship Id="rId9" Type="http://schemas.openxmlformats.org/officeDocument/2006/relationships/pivotTable" Target="../pivotTables/pivotTable9.xml"/><Relationship Id="rId14" Type="http://schemas.openxmlformats.org/officeDocument/2006/relationships/pivotTable" Target="../pivotTables/pivot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X230"/>
  <sheetViews>
    <sheetView topLeftCell="A6" zoomScaleNormal="100" workbookViewId="0">
      <pane xSplit="9" ySplit="13" topLeftCell="J169" activePane="bottomRight" state="frozen"/>
      <selection activeCell="A6" sqref="A6"/>
      <selection pane="topRight" activeCell="J6" sqref="J6"/>
      <selection pane="bottomLeft" activeCell="A19" sqref="A19"/>
      <selection pane="bottomRight" activeCell="H13" sqref="H13"/>
    </sheetView>
  </sheetViews>
  <sheetFormatPr defaultColWidth="9.140625" defaultRowHeight="15.75" x14ac:dyDescent="0.25"/>
  <cols>
    <col min="1" max="1" width="2.28515625" style="107" customWidth="1"/>
    <col min="2" max="2" width="2.85546875" style="268" customWidth="1"/>
    <col min="3" max="3" width="41" style="106" customWidth="1"/>
    <col min="4" max="6" width="22.140625" style="106" hidden="1" customWidth="1"/>
    <col min="7" max="7" width="33.7109375" style="105" customWidth="1"/>
    <col min="8" max="8" width="28.5703125" style="106" customWidth="1"/>
    <col min="9" max="9" width="27.42578125" style="107" customWidth="1"/>
    <col min="10" max="10" width="18.85546875" style="107" customWidth="1"/>
    <col min="11" max="11" width="17.140625" style="194" customWidth="1"/>
    <col min="12" max="12" width="17.140625" style="217" hidden="1" customWidth="1"/>
    <col min="13" max="13" width="40.7109375" style="107" bestFit="1" customWidth="1"/>
    <col min="14" max="14" width="17.5703125" style="107" customWidth="1"/>
    <col min="15" max="15" width="19" style="107" customWidth="1"/>
    <col min="16" max="16" width="18.85546875" style="107" customWidth="1"/>
    <col min="17" max="17" width="22.7109375" style="107" bestFit="1" customWidth="1"/>
    <col min="18" max="18" width="15.85546875" style="107" customWidth="1"/>
    <col min="19" max="19" width="16.28515625" style="107" customWidth="1"/>
    <col min="20" max="20" width="11.28515625" style="107" bestFit="1" customWidth="1"/>
    <col min="21" max="21" width="23.5703125" style="107" bestFit="1" customWidth="1"/>
    <col min="22" max="23" width="23.140625" style="107" bestFit="1" customWidth="1"/>
    <col min="24" max="24" width="17" style="107" bestFit="1" customWidth="1"/>
    <col min="25" max="16384" width="9.140625" style="107"/>
  </cols>
  <sheetData>
    <row r="1" spans="1:22" s="101" customFormat="1" ht="31.15" customHeight="1" x14ac:dyDescent="0.25">
      <c r="A1" s="1" t="s">
        <v>0</v>
      </c>
      <c r="B1" s="263"/>
      <c r="C1" s="2"/>
      <c r="D1" s="2"/>
      <c r="E1" s="2"/>
      <c r="F1" s="2"/>
      <c r="G1" s="99"/>
      <c r="H1" s="100"/>
      <c r="K1" s="193"/>
      <c r="L1" s="216"/>
    </row>
    <row r="2" spans="1:22" s="101" customFormat="1" ht="15.6" customHeight="1" x14ac:dyDescent="0.25">
      <c r="A2" s="1" t="s">
        <v>473</v>
      </c>
      <c r="B2" s="263"/>
      <c r="C2" s="2"/>
      <c r="D2" s="2"/>
      <c r="E2" s="2"/>
      <c r="F2" s="2"/>
      <c r="G2" s="99"/>
      <c r="H2" s="100"/>
      <c r="K2" s="193"/>
      <c r="L2" s="216"/>
    </row>
    <row r="3" spans="1:22" s="101" customFormat="1" x14ac:dyDescent="0.25">
      <c r="A3" s="1" t="s">
        <v>246</v>
      </c>
      <c r="B3" s="263"/>
      <c r="C3" s="2"/>
      <c r="D3" s="2"/>
      <c r="E3" s="2"/>
      <c r="F3" s="2"/>
      <c r="G3" s="99"/>
      <c r="H3" s="103"/>
      <c r="I3" s="104"/>
      <c r="K3" s="193"/>
      <c r="L3" s="216"/>
    </row>
    <row r="4" spans="1:22" s="101" customFormat="1" x14ac:dyDescent="0.25">
      <c r="A4" s="1" t="s">
        <v>474</v>
      </c>
      <c r="B4" s="263"/>
      <c r="C4" s="2"/>
      <c r="D4" s="2"/>
      <c r="E4" s="2"/>
      <c r="F4" s="2"/>
      <c r="G4" s="99"/>
      <c r="H4" s="100"/>
      <c r="K4" s="193"/>
      <c r="L4" s="216"/>
      <c r="M4" s="230">
        <f>Q172-G171</f>
        <v>70373.759999513626</v>
      </c>
      <c r="N4" s="104"/>
      <c r="O4" s="104"/>
      <c r="P4" s="102"/>
    </row>
    <row r="5" spans="1:22" ht="16.149999999999999" customHeight="1" x14ac:dyDescent="0.25">
      <c r="A5" s="101"/>
      <c r="B5" s="264"/>
      <c r="C5" s="100"/>
      <c r="D5" s="240" t="s">
        <v>258</v>
      </c>
      <c r="E5" s="240" t="s">
        <v>257</v>
      </c>
      <c r="F5" s="240" t="s">
        <v>256</v>
      </c>
    </row>
    <row r="6" spans="1:22" ht="16.5" customHeight="1" x14ac:dyDescent="0.25">
      <c r="A6" s="457" t="s">
        <v>3</v>
      </c>
      <c r="B6" s="457"/>
      <c r="C6" s="457"/>
      <c r="D6" s="322"/>
      <c r="E6" s="322"/>
      <c r="F6" s="322"/>
      <c r="G6" s="458" t="s">
        <v>4</v>
      </c>
      <c r="H6" s="457" t="s">
        <v>5</v>
      </c>
      <c r="I6" s="457"/>
      <c r="J6" s="457"/>
      <c r="K6" s="457"/>
      <c r="L6" s="457"/>
      <c r="M6" s="457"/>
      <c r="N6" s="457"/>
      <c r="O6" s="457"/>
      <c r="P6" s="457"/>
      <c r="Q6" s="457"/>
      <c r="R6" s="459" t="s">
        <v>194</v>
      </c>
      <c r="S6" s="460"/>
    </row>
    <row r="7" spans="1:22" x14ac:dyDescent="0.25">
      <c r="A7" s="457"/>
      <c r="B7" s="457"/>
      <c r="C7" s="457"/>
      <c r="D7" s="322"/>
      <c r="E7" s="322"/>
      <c r="F7" s="322"/>
      <c r="G7" s="458"/>
      <c r="H7" s="465" t="s">
        <v>7</v>
      </c>
      <c r="I7" s="466"/>
      <c r="J7" s="466"/>
      <c r="K7" s="467"/>
      <c r="L7" s="323"/>
      <c r="M7" s="457" t="s">
        <v>8</v>
      </c>
      <c r="N7" s="457"/>
      <c r="O7" s="457"/>
      <c r="P7" s="457"/>
      <c r="Q7" s="457"/>
      <c r="R7" s="461"/>
      <c r="S7" s="462"/>
    </row>
    <row r="8" spans="1:22" s="108" customFormat="1" x14ac:dyDescent="0.25">
      <c r="A8" s="457"/>
      <c r="B8" s="457"/>
      <c r="C8" s="457"/>
      <c r="D8" s="322"/>
      <c r="E8" s="322"/>
      <c r="F8" s="322"/>
      <c r="G8" s="458"/>
      <c r="H8" s="325" t="s">
        <v>9</v>
      </c>
      <c r="I8" s="325" t="s">
        <v>10</v>
      </c>
      <c r="J8" s="325" t="s">
        <v>11</v>
      </c>
      <c r="K8" s="195" t="s">
        <v>12</v>
      </c>
      <c r="L8" s="195"/>
      <c r="M8" s="325" t="s">
        <v>9</v>
      </c>
      <c r="N8" s="325" t="s">
        <v>10</v>
      </c>
      <c r="O8" s="325" t="s">
        <v>11</v>
      </c>
      <c r="P8" s="325" t="s">
        <v>13</v>
      </c>
      <c r="Q8" s="325" t="s">
        <v>14</v>
      </c>
      <c r="R8" s="463"/>
      <c r="S8" s="464"/>
    </row>
    <row r="9" spans="1:22" ht="33" customHeight="1" x14ac:dyDescent="0.25">
      <c r="A9" s="468" t="s">
        <v>188</v>
      </c>
      <c r="B9" s="469"/>
      <c r="C9" s="470"/>
      <c r="D9" s="324"/>
      <c r="E9" s="324"/>
      <c r="F9" s="324"/>
      <c r="G9" s="109">
        <v>1963112594.0999999</v>
      </c>
      <c r="H9" s="110"/>
      <c r="I9" s="111"/>
      <c r="J9" s="111"/>
      <c r="K9" s="196"/>
      <c r="L9" s="218"/>
      <c r="M9" s="111"/>
      <c r="N9" s="111"/>
      <c r="O9" s="111"/>
      <c r="P9" s="111"/>
      <c r="Q9" s="111"/>
      <c r="R9" s="111"/>
      <c r="S9" s="111"/>
    </row>
    <row r="10" spans="1:22" x14ac:dyDescent="0.25">
      <c r="A10" s="112"/>
      <c r="B10" s="265"/>
      <c r="C10" s="113"/>
      <c r="D10" s="113"/>
      <c r="E10" s="113"/>
      <c r="F10" s="113"/>
      <c r="G10" s="114"/>
      <c r="H10" s="110"/>
      <c r="I10" s="111"/>
      <c r="J10" s="111"/>
      <c r="K10" s="196"/>
      <c r="L10" s="218"/>
      <c r="M10" s="114"/>
      <c r="N10" s="114"/>
      <c r="O10" s="114"/>
      <c r="P10" s="114"/>
      <c r="Q10" s="114"/>
      <c r="R10" s="114"/>
      <c r="S10" s="114"/>
      <c r="T10" s="105"/>
      <c r="U10" s="105"/>
      <c r="V10" s="105"/>
    </row>
    <row r="11" spans="1:22" s="101" customFormat="1" ht="15" customHeight="1" x14ac:dyDescent="0.25">
      <c r="A11" s="115"/>
      <c r="B11" s="266"/>
      <c r="C11" s="116" t="s">
        <v>16</v>
      </c>
      <c r="D11" s="116"/>
      <c r="E11" s="116"/>
      <c r="F11" s="116"/>
      <c r="G11" s="109">
        <f>SUM(G13:G14)</f>
        <v>-35450.35</v>
      </c>
      <c r="H11" s="117"/>
      <c r="I11" s="109">
        <v>0</v>
      </c>
      <c r="J11" s="109">
        <f>SUM(J13:J14)</f>
        <v>3.62</v>
      </c>
      <c r="K11" s="197">
        <f>+J11</f>
        <v>3.62</v>
      </c>
      <c r="L11" s="219"/>
      <c r="M11" s="109"/>
      <c r="N11" s="109"/>
      <c r="O11" s="109"/>
      <c r="P11" s="109">
        <f>SUM(P12:P13)</f>
        <v>-35450.35</v>
      </c>
      <c r="Q11" s="109">
        <f>SUM(Q13:Q14)</f>
        <v>0</v>
      </c>
      <c r="R11" s="109"/>
      <c r="S11" s="109"/>
      <c r="T11" s="99"/>
      <c r="U11" s="99"/>
      <c r="V11" s="99"/>
    </row>
    <row r="12" spans="1:22" s="123" customFormat="1" ht="15.6" customHeight="1" x14ac:dyDescent="0.25">
      <c r="A12" s="118"/>
      <c r="B12" s="267"/>
      <c r="C12" s="119" t="s">
        <v>17</v>
      </c>
      <c r="D12" s="119"/>
      <c r="E12" s="119"/>
      <c r="F12" s="119"/>
      <c r="G12" s="120"/>
      <c r="H12" s="121"/>
      <c r="I12" s="120"/>
      <c r="J12" s="120"/>
      <c r="K12" s="198"/>
      <c r="L12" s="220"/>
      <c r="M12" s="120"/>
      <c r="N12" s="120"/>
      <c r="O12" s="120"/>
      <c r="P12" s="120"/>
      <c r="Q12" s="120"/>
      <c r="R12" s="120"/>
      <c r="S12" s="120"/>
      <c r="T12" s="122"/>
      <c r="U12" s="122"/>
      <c r="V12" s="122"/>
    </row>
    <row r="13" spans="1:22" ht="15.6" customHeight="1" x14ac:dyDescent="0.25">
      <c r="A13" s="112"/>
      <c r="B13" s="265">
        <v>4020221099</v>
      </c>
      <c r="C13" s="124" t="s">
        <v>142</v>
      </c>
      <c r="D13" s="124">
        <v>-35450.35</v>
      </c>
      <c r="E13" s="124"/>
      <c r="F13" s="124"/>
      <c r="G13" s="114">
        <v>-35450.35</v>
      </c>
      <c r="H13" s="125" t="s">
        <v>142</v>
      </c>
      <c r="I13" s="114"/>
      <c r="J13" s="114">
        <v>3.62</v>
      </c>
      <c r="K13" s="196">
        <v>3.62</v>
      </c>
      <c r="L13" s="218"/>
      <c r="M13" s="114" t="s">
        <v>199</v>
      </c>
      <c r="N13" s="114">
        <v>3.62</v>
      </c>
      <c r="O13" s="114">
        <v>35453.97</v>
      </c>
      <c r="P13" s="114">
        <v>-35450.35</v>
      </c>
      <c r="Q13" s="114"/>
      <c r="R13" s="114"/>
      <c r="S13" s="114">
        <v>-35450.35</v>
      </c>
      <c r="T13" s="105"/>
      <c r="U13" s="105"/>
      <c r="V13" s="105"/>
    </row>
    <row r="14" spans="1:22" ht="15.6" customHeight="1" x14ac:dyDescent="0.25">
      <c r="A14" s="112"/>
      <c r="B14" s="265"/>
      <c r="C14" s="124" t="s">
        <v>21</v>
      </c>
      <c r="D14" s="124"/>
      <c r="E14" s="124"/>
      <c r="F14" s="124"/>
      <c r="G14" s="114"/>
      <c r="H14" s="125" t="s">
        <v>19</v>
      </c>
      <c r="I14" s="114"/>
      <c r="J14" s="114">
        <f>G14</f>
        <v>0</v>
      </c>
      <c r="K14" s="196">
        <f>J14</f>
        <v>0</v>
      </c>
      <c r="L14" s="218"/>
      <c r="M14" s="114" t="s">
        <v>22</v>
      </c>
      <c r="N14" s="114"/>
      <c r="O14" s="114"/>
      <c r="P14" s="114"/>
      <c r="Q14" s="114">
        <f>N14*-1</f>
        <v>0</v>
      </c>
      <c r="R14" s="114"/>
      <c r="S14" s="114"/>
      <c r="T14" s="105"/>
      <c r="U14" s="105"/>
      <c r="V14" s="105"/>
    </row>
    <row r="15" spans="1:22" s="101" customFormat="1" x14ac:dyDescent="0.25">
      <c r="A15" s="126"/>
      <c r="B15" s="266" t="s">
        <v>23</v>
      </c>
      <c r="C15" s="127"/>
      <c r="D15" s="127"/>
      <c r="E15" s="127"/>
      <c r="F15" s="127"/>
      <c r="G15" s="109">
        <f>SUM(G17:G165)</f>
        <v>-1235174850.8489864</v>
      </c>
      <c r="H15" s="117"/>
      <c r="I15" s="109">
        <f>SUM(I17:I137)</f>
        <v>1249710394.5589869</v>
      </c>
      <c r="J15" s="109">
        <f>SUM(J17:J137)</f>
        <v>3844293.8899999997</v>
      </c>
      <c r="K15" s="197">
        <f>SUM(K17:K165)</f>
        <v>-1236557953.9389868</v>
      </c>
      <c r="L15" s="219"/>
      <c r="M15" s="109"/>
      <c r="N15" s="109">
        <f>SUM(N17:N165)</f>
        <v>34565028.170000002</v>
      </c>
      <c r="O15" s="109">
        <f>SUM(O17:O165)</f>
        <v>1280582446.4689867</v>
      </c>
      <c r="P15" s="109">
        <f>SUM(P17:P165)</f>
        <v>-1208842290.3589869</v>
      </c>
      <c r="Q15" s="109">
        <f>SUM(Q17:Q165)</f>
        <v>26262186.730000004</v>
      </c>
      <c r="R15" s="109"/>
      <c r="S15" s="109"/>
      <c r="T15" s="99"/>
      <c r="U15" s="99"/>
      <c r="V15" s="99"/>
    </row>
    <row r="16" spans="1:22" s="123" customFormat="1" ht="31.5" x14ac:dyDescent="0.25">
      <c r="A16" s="118"/>
      <c r="B16" s="267" t="s">
        <v>191</v>
      </c>
      <c r="C16" s="119" t="s">
        <v>24</v>
      </c>
      <c r="D16" s="119"/>
      <c r="E16" s="119"/>
      <c r="F16" s="119"/>
      <c r="G16" s="120"/>
      <c r="H16" s="121"/>
      <c r="I16" s="120"/>
      <c r="J16" s="120"/>
      <c r="K16" s="198"/>
      <c r="L16" s="221"/>
      <c r="M16" s="120"/>
      <c r="N16" s="120"/>
      <c r="O16" s="120"/>
      <c r="P16" s="120"/>
      <c r="Q16" s="120"/>
      <c r="R16" s="120"/>
      <c r="S16" s="120"/>
      <c r="T16" s="122"/>
      <c r="U16" s="122"/>
      <c r="V16" s="122"/>
    </row>
    <row r="17" spans="1:22" ht="31.5" x14ac:dyDescent="0.25">
      <c r="A17" s="112"/>
      <c r="B17" s="265">
        <v>5010102000</v>
      </c>
      <c r="C17" s="124" t="s">
        <v>26</v>
      </c>
      <c r="D17" s="239">
        <f>IFERROR(VLOOKUP(B17,'WORKING PAPER FC1'!$I$19:$J$31,2,FALSE),0)</f>
        <v>0</v>
      </c>
      <c r="E17" s="124"/>
      <c r="F17" s="239">
        <f>IFERROR(VLOOKUP(B17,'WORKING PAPER FC1'!$I$11:$J$12,2,FALSE),0)</f>
        <v>0</v>
      </c>
      <c r="G17" s="114">
        <f>-'[4]ADAdj-APRGOP'!$BX$152-'[4]ADAdj-APRGOP'!$BX$201-'[4]ADAdj-APRGOP'!$BX$202-'[4]ADAdj-APRGOP'!$BX$131-1790.3-6062.08-'[5]ADAdj-APRGOP'!$BX$28-'[5]ADAdj-APRGOP'!$BX$27-'[5]ADAdj-APRGOP'!$BX$17-'[5]ADAdj-APRGOP'!$BX$16-'[5]ADAdj-APRGOP'!$BX$15-'[5]ADAdj-APRGOP'!$BX$14-'[5]ADAdj-APRGOP'!$BX$338-11058.29+2900+9915.55-127957.25+2900-35381.58-88864.29+4440+'WORKING PAPER FC1'!AC50+2900</f>
        <v>-305277.70999999996</v>
      </c>
      <c r="H17" s="124" t="s">
        <v>26</v>
      </c>
      <c r="I17" s="114">
        <f t="shared" ref="I17:I22" si="0">G17*-1</f>
        <v>305277.70999999996</v>
      </c>
      <c r="J17" s="114"/>
      <c r="K17" s="196">
        <f t="shared" ref="K17:K22" si="1">G17</f>
        <v>-305277.70999999996</v>
      </c>
      <c r="L17" s="222">
        <v>2010101000</v>
      </c>
      <c r="M17" s="114" t="s">
        <v>25</v>
      </c>
      <c r="N17" s="114"/>
      <c r="O17" s="114">
        <f>I17</f>
        <v>305277.70999999996</v>
      </c>
      <c r="P17" s="114"/>
      <c r="Q17" s="114">
        <f t="shared" ref="Q17:Q27" si="2">O17</f>
        <v>305277.70999999996</v>
      </c>
      <c r="R17" s="114"/>
      <c r="S17" s="114"/>
      <c r="T17" s="105"/>
      <c r="U17" s="105"/>
      <c r="V17" s="105"/>
    </row>
    <row r="18" spans="1:22" ht="31.5" x14ac:dyDescent="0.25">
      <c r="A18" s="112"/>
      <c r="B18" s="265">
        <v>5010102000</v>
      </c>
      <c r="C18" s="124" t="s">
        <v>26</v>
      </c>
      <c r="D18" s="239">
        <f>IFERROR(VLOOKUP(B18,'WORKING PAPER FC1'!$I$19:$J$31,2,FALSE),0)</f>
        <v>0</v>
      </c>
      <c r="E18" s="124"/>
      <c r="F18" s="239">
        <f>IFERROR(VLOOKUP(B18,'WORKING PAPER FC1'!$I$11:$J$12,2,FALSE),0)</f>
        <v>0</v>
      </c>
      <c r="G18" s="114">
        <f>-'[4]ADAdj-APRGOP'!$BX$153-'[5]ADAdj-APRGOP'!$BX$139-'[5]ADAdj-APRGOP'!$BX$108-'[5]ADAdj-APRGOP'!$BX$41-'[5]ADAdj-APRGOP'!$BX$39-'[5]ADAdj-APRGOP'!$BX$37-'[5]ADAdj-APRGOP'!$BX$35-'[5]ADAdj-APRGOP'!$BX$33-'[5]ADAdj-APRGOP'!$BX$31-'[6]ADAdj-APRGOP'!$O$1017-32587.78</f>
        <v>-204747.09</v>
      </c>
      <c r="H18" s="113" t="s">
        <v>26</v>
      </c>
      <c r="I18" s="114">
        <f t="shared" si="0"/>
        <v>204747.09</v>
      </c>
      <c r="J18" s="114"/>
      <c r="K18" s="196">
        <f t="shared" si="1"/>
        <v>-204747.09</v>
      </c>
      <c r="L18" s="222">
        <v>2020102001</v>
      </c>
      <c r="M18" s="114" t="s">
        <v>244</v>
      </c>
      <c r="N18" s="114"/>
      <c r="O18" s="114">
        <f t="shared" ref="O18:O80" si="3">I18</f>
        <v>204747.09</v>
      </c>
      <c r="P18" s="114"/>
      <c r="Q18" s="114">
        <f t="shared" si="2"/>
        <v>204747.09</v>
      </c>
      <c r="R18" s="114"/>
      <c r="S18" s="114"/>
      <c r="T18" s="105"/>
      <c r="U18" s="105"/>
      <c r="V18" s="105"/>
    </row>
    <row r="19" spans="1:22" ht="31.5" x14ac:dyDescent="0.25">
      <c r="A19" s="112"/>
      <c r="B19" s="265">
        <v>5010102000</v>
      </c>
      <c r="C19" s="124" t="s">
        <v>26</v>
      </c>
      <c r="D19" s="239">
        <f>IFERROR(VLOOKUP(B19,'WORKING PAPER FC1'!$I$19:$J$31,2,FALSE),0)</f>
        <v>0</v>
      </c>
      <c r="E19" s="124"/>
      <c r="F19" s="239">
        <f>IFERROR(VLOOKUP(B19,'WORKING PAPER FC1'!$I$11:$J$12,2,FALSE),0)</f>
        <v>0</v>
      </c>
      <c r="G19" s="114">
        <f>-'[7]JANUARY 2023'!$EL$442-'[7]JANUARY 2023'!$EL$444-'[7]JANUARY 2023'!$EL$446-'[7]JANUARY 2023'!$EL$448-'[7]JANUARY 2023'!$EL$450-'[8]FEBRUARY 2023 SORT REV'!$EL$786-'[8]FEBRUARY 2023 SORT REV'!$EL$784</f>
        <v>-4379.1400000000003</v>
      </c>
      <c r="H19" s="113" t="s">
        <v>26</v>
      </c>
      <c r="I19" s="114">
        <f t="shared" si="0"/>
        <v>4379.1400000000003</v>
      </c>
      <c r="J19" s="114"/>
      <c r="K19" s="196">
        <f t="shared" si="1"/>
        <v>-4379.1400000000003</v>
      </c>
      <c r="L19" s="222">
        <v>2020104000</v>
      </c>
      <c r="M19" s="114" t="s">
        <v>190</v>
      </c>
      <c r="N19" s="114"/>
      <c r="O19" s="114">
        <f t="shared" si="3"/>
        <v>4379.1400000000003</v>
      </c>
      <c r="P19" s="114"/>
      <c r="Q19" s="114">
        <f t="shared" si="2"/>
        <v>4379.1400000000003</v>
      </c>
      <c r="R19" s="114"/>
      <c r="S19" s="114"/>
      <c r="T19" s="105"/>
      <c r="U19" s="105"/>
      <c r="V19" s="105"/>
    </row>
    <row r="20" spans="1:22" ht="31.5" x14ac:dyDescent="0.25">
      <c r="A20" s="112"/>
      <c r="B20" s="265">
        <v>5010102000</v>
      </c>
      <c r="C20" s="124" t="s">
        <v>26</v>
      </c>
      <c r="D20" s="239">
        <f>IFERROR(VLOOKUP(B20,'WORKING PAPER FC1'!$I$19:$J$31,2,FALSE),0)</f>
        <v>0</v>
      </c>
      <c r="E20" s="124"/>
      <c r="F20" s="239">
        <f>IFERROR(VLOOKUP(B20,'WORKING PAPER FC1'!$I$11:$J$12,2,FALSE),0)</f>
        <v>0</v>
      </c>
      <c r="G20" s="114">
        <f>-'[5]ADAdj-APRGOP'!$BX$154-'[5]ADAdj-APRGOP'!$BX$156</f>
        <v>-200</v>
      </c>
      <c r="H20" s="124" t="s">
        <v>26</v>
      </c>
      <c r="I20" s="114">
        <f t="shared" si="0"/>
        <v>200</v>
      </c>
      <c r="J20" s="114"/>
      <c r="K20" s="196">
        <f t="shared" si="1"/>
        <v>-200</v>
      </c>
      <c r="L20" s="222">
        <v>2020103001</v>
      </c>
      <c r="M20" s="114" t="s">
        <v>245</v>
      </c>
      <c r="N20" s="114"/>
      <c r="O20" s="114">
        <f t="shared" si="3"/>
        <v>200</v>
      </c>
      <c r="P20" s="114"/>
      <c r="Q20" s="114">
        <f t="shared" si="2"/>
        <v>200</v>
      </c>
      <c r="R20" s="114"/>
      <c r="S20" s="114"/>
      <c r="T20" s="105"/>
      <c r="U20" s="105"/>
      <c r="V20" s="105"/>
    </row>
    <row r="21" spans="1:22" ht="31.5" x14ac:dyDescent="0.25">
      <c r="A21" s="112"/>
      <c r="B21" s="265">
        <v>5010301000</v>
      </c>
      <c r="C21" s="124" t="s">
        <v>27</v>
      </c>
      <c r="D21" s="239">
        <f>IFERROR(VLOOKUP(B21,'WORKING PAPER FC1'!$I$19:$J$31,2,FALSE),0)</f>
        <v>0</v>
      </c>
      <c r="E21" s="124"/>
      <c r="F21" s="239">
        <f>IFERROR(VLOOKUP(B21,'WORKING PAPER FC1'!$I$11:$J$12,2,FALSE),0)</f>
        <v>0</v>
      </c>
      <c r="G21" s="114">
        <f>-14307.07</f>
        <v>-14307.07</v>
      </c>
      <c r="H21" s="124" t="s">
        <v>27</v>
      </c>
      <c r="I21" s="114">
        <f t="shared" si="0"/>
        <v>14307.07</v>
      </c>
      <c r="J21" s="114"/>
      <c r="K21" s="196">
        <f t="shared" si="1"/>
        <v>-14307.07</v>
      </c>
      <c r="L21" s="222">
        <v>2010101000</v>
      </c>
      <c r="M21" s="114" t="s">
        <v>25</v>
      </c>
      <c r="N21" s="114"/>
      <c r="O21" s="114">
        <f t="shared" si="3"/>
        <v>14307.07</v>
      </c>
      <c r="P21" s="114"/>
      <c r="Q21" s="114">
        <f t="shared" si="2"/>
        <v>14307.07</v>
      </c>
      <c r="R21" s="114"/>
      <c r="S21" s="114"/>
      <c r="T21" s="105"/>
      <c r="U21" s="105"/>
      <c r="V21" s="105"/>
    </row>
    <row r="22" spans="1:22" x14ac:dyDescent="0.25">
      <c r="A22" s="112"/>
      <c r="B22" s="265">
        <v>5021601000</v>
      </c>
      <c r="C22" s="124" t="s">
        <v>50</v>
      </c>
      <c r="D22" s="239">
        <f>IFERROR(VLOOKUP(B22,'WORKING PAPER FC1'!$I$19:$J$31,2,FALSE),0)</f>
        <v>0</v>
      </c>
      <c r="E22" s="124"/>
      <c r="F22" s="239">
        <f>IFERROR(VLOOKUP(B22,'WORKING PAPER FC1'!$I$11:$J$12,2,FALSE),0)</f>
        <v>0</v>
      </c>
      <c r="G22" s="114">
        <f>-'[5]ADAdj-APRGOP'!$BX$147</f>
        <v>-4000</v>
      </c>
      <c r="H22" s="124" t="s">
        <v>50</v>
      </c>
      <c r="I22" s="114">
        <f t="shared" si="0"/>
        <v>4000</v>
      </c>
      <c r="J22" s="114"/>
      <c r="K22" s="196">
        <f t="shared" si="1"/>
        <v>-4000</v>
      </c>
      <c r="L22" s="222">
        <v>2010101000</v>
      </c>
      <c r="M22" s="114" t="s">
        <v>25</v>
      </c>
      <c r="N22" s="114"/>
      <c r="O22" s="114">
        <f t="shared" si="3"/>
        <v>4000</v>
      </c>
      <c r="P22" s="114"/>
      <c r="Q22" s="114">
        <f t="shared" si="2"/>
        <v>4000</v>
      </c>
      <c r="R22" s="114"/>
      <c r="S22" s="114"/>
      <c r="T22" s="105"/>
      <c r="U22" s="105"/>
      <c r="V22" s="105"/>
    </row>
    <row r="23" spans="1:22" x14ac:dyDescent="0.25">
      <c r="A23" s="112"/>
      <c r="B23" s="265">
        <v>5020502001</v>
      </c>
      <c r="C23" s="124" t="s">
        <v>56</v>
      </c>
      <c r="D23" s="239">
        <f>IFERROR(VLOOKUP(B23,'WORKING PAPER FC1'!$I$19:$J$31,2,FALSE),0)</f>
        <v>0</v>
      </c>
      <c r="E23" s="124"/>
      <c r="F23" s="239">
        <f>IFERROR(VLOOKUP(B23,'WORKING PAPER FC1'!$I$11:$J$12,2,FALSE),0)</f>
        <v>0</v>
      </c>
      <c r="G23" s="114">
        <f>-'[8]FEBRUARY 2023 SORT REV'!$EL$204-'[8]FEBRUARY 2023 SORT REV'!$EL$205-'[8]FEBRUARY 2023 SORT REV'!$EL$206-'[9]MARCH 2023 arranged per ADA'!$EM$2873+'[9]MARCH 2023 arranged per ADA'!$AV$424-900+3770</f>
        <v>-14222</v>
      </c>
      <c r="H23" s="124" t="s">
        <v>56</v>
      </c>
      <c r="I23" s="114">
        <f t="shared" ref="I23:I34" si="4">G23*-1-J23</f>
        <v>14214</v>
      </c>
      <c r="J23" s="114">
        <f>'[9]MARCH 2023 arranged per ADA'!$AV$424</f>
        <v>8</v>
      </c>
      <c r="K23" s="196">
        <f>-I23-J23</f>
        <v>-14222</v>
      </c>
      <c r="L23" s="222">
        <v>2010101000</v>
      </c>
      <c r="M23" s="114" t="s">
        <v>25</v>
      </c>
      <c r="N23" s="114">
        <f>J23</f>
        <v>8</v>
      </c>
      <c r="O23" s="114">
        <f>I23</f>
        <v>14214</v>
      </c>
      <c r="P23" s="114"/>
      <c r="Q23" s="114">
        <f>N23+O23</f>
        <v>14222</v>
      </c>
      <c r="R23" s="114"/>
      <c r="S23" s="114"/>
      <c r="T23" s="105"/>
      <c r="U23" s="105"/>
      <c r="V23" s="105"/>
    </row>
    <row r="24" spans="1:22" x14ac:dyDescent="0.25">
      <c r="A24" s="112"/>
      <c r="B24" s="265">
        <v>5020101000</v>
      </c>
      <c r="C24" s="124" t="s">
        <v>28</v>
      </c>
      <c r="D24" s="239">
        <f>IFERROR(VLOOKUP(B24,'WORKING PAPER FC1'!$I$19:$J$31,2,FALSE),0)</f>
        <v>0</v>
      </c>
      <c r="E24" s="124"/>
      <c r="F24" s="239">
        <f>IFERROR(VLOOKUP(B24,'WORKING PAPER FC1'!$I$11:$J$12,2,FALSE),0)</f>
        <v>0</v>
      </c>
      <c r="G24" s="114">
        <f>-'[8]FEBRUARY 2023 SORT REV'!$EL$610-'[8]FEBRUARY 2023 SORT REV'!$EL$602-'[8]FEBRUARY 2023 SORT REV'!$EL$624-'[8]FEBRUARY 2023 SORT REV'!$EL$203-'[5]ADAdj-APRGOP'!$BX$48-'[5]ADAdj-APRGOP'!$BX$54-'[5]ADAdj-APRGOP'!$BX$57-'[5]ADAdj-APRGOP'!$BX$65-'[5]ADAdj-APRGOP'!$BX$271-'[5]ADAdj-APRGOP'!$BX$272-'[9]MARCH 2023 arranged per ADA'!$EM$2865-'[9]MARCH 2023 arranged per ADA'!$EM$2874+'[9]MARCH 2023 arranged per ADA'!$AV$1518-'[6]ADAdj-APRGOP'!$O$1018+'[6]ADAdj-APRGOP'!$O$1031-385200-16066+6156-18022+363385.13</f>
        <v>-890927.87</v>
      </c>
      <c r="H24" s="113" t="s">
        <v>28</v>
      </c>
      <c r="I24" s="114">
        <f t="shared" si="4"/>
        <v>788028.87</v>
      </c>
      <c r="J24" s="114">
        <f>'[9]MARCH 2023 arranged per ADA'!$AV$1518+'[6]ADAdj-APRGOP'!$O$1031</f>
        <v>102899</v>
      </c>
      <c r="K24" s="196">
        <f>-I24-J24</f>
        <v>-890927.87</v>
      </c>
      <c r="L24" s="222">
        <v>2010101000</v>
      </c>
      <c r="M24" s="114" t="s">
        <v>25</v>
      </c>
      <c r="N24" s="114">
        <f>J24</f>
        <v>102899</v>
      </c>
      <c r="O24" s="114">
        <f>I24</f>
        <v>788028.87</v>
      </c>
      <c r="P24" s="114"/>
      <c r="Q24" s="114">
        <f>N24+O24</f>
        <v>890927.87</v>
      </c>
      <c r="R24" s="114"/>
      <c r="S24" s="114"/>
      <c r="T24" s="105"/>
      <c r="U24" s="105"/>
      <c r="V24" s="105"/>
    </row>
    <row r="25" spans="1:22" x14ac:dyDescent="0.25">
      <c r="A25" s="112"/>
      <c r="B25" s="265">
        <v>5020201002</v>
      </c>
      <c r="C25" s="124" t="s">
        <v>29</v>
      </c>
      <c r="D25" s="239">
        <f>IFERROR(VLOOKUP(B25,'WORKING PAPER FC1'!$I$19:$J$31,2,FALSE),0)</f>
        <v>0</v>
      </c>
      <c r="E25" s="124"/>
      <c r="F25" s="239">
        <f>IFERROR(VLOOKUP(B25,'WORKING PAPER FC1'!$I$11:$J$12,2,FALSE),0)</f>
        <v>0</v>
      </c>
      <c r="G25" s="114">
        <f>-'[8]FEBRUARY 2023 SORT REV'!$EL$74-'[8]FEBRUARY 2023 SORT REV'!$EL$75-'[8]FEBRUARY 2023 SORT REV'!$EL$504-'[8]FEBRUARY 2023 SORT REV'!$EL$505-'[9]MARCH 2023 arranged per ADA'!$EM$2866-'[6]ADAdj-APRGOP'!$O$1019-84417-943930-898350-847989.57-273250+F25+'WORKING PAPER FC1'!T16+'WORKING PAPER FC1'!Z9-25000-20000+6888</f>
        <v>-6345482.2000000002</v>
      </c>
      <c r="H25" s="113" t="s">
        <v>29</v>
      </c>
      <c r="I25" s="114">
        <f t="shared" si="4"/>
        <v>6345482.2000000002</v>
      </c>
      <c r="J25" s="114"/>
      <c r="K25" s="196">
        <f t="shared" ref="K25:K52" si="5">G25</f>
        <v>-6345482.2000000002</v>
      </c>
      <c r="L25" s="222">
        <v>2010101000</v>
      </c>
      <c r="M25" s="114" t="s">
        <v>25</v>
      </c>
      <c r="N25" s="114"/>
      <c r="O25" s="114">
        <f t="shared" si="3"/>
        <v>6345482.2000000002</v>
      </c>
      <c r="P25" s="114"/>
      <c r="Q25" s="114">
        <f t="shared" si="2"/>
        <v>6345482.2000000002</v>
      </c>
      <c r="R25" s="114"/>
      <c r="S25" s="114"/>
      <c r="T25" s="105"/>
      <c r="U25" s="105"/>
      <c r="V25" s="105"/>
    </row>
    <row r="26" spans="1:22" x14ac:dyDescent="0.25">
      <c r="A26" s="112"/>
      <c r="B26" s="265">
        <v>5021202000</v>
      </c>
      <c r="C26" s="124" t="s">
        <v>202</v>
      </c>
      <c r="D26" s="239">
        <f>IFERROR(VLOOKUP(B26,'WORKING PAPER FC1'!$I$19:$J$31,2,FALSE),0)</f>
        <v>0</v>
      </c>
      <c r="E26" s="124"/>
      <c r="F26" s="239">
        <f>IFERROR(VLOOKUP(B26,'WORKING PAPER FC1'!$I$11:$J$12,2,FALSE),0)</f>
        <v>0</v>
      </c>
      <c r="G26" s="114">
        <f>-'[9]MARCH 2023 arranged per ADA'!$EM$2876</f>
        <v>-268878.54000000004</v>
      </c>
      <c r="H26" s="124" t="s">
        <v>202</v>
      </c>
      <c r="I26" s="114">
        <f t="shared" si="4"/>
        <v>268878.54000000004</v>
      </c>
      <c r="J26" s="114"/>
      <c r="K26" s="196">
        <f>G26</f>
        <v>-268878.54000000004</v>
      </c>
      <c r="L26" s="222">
        <v>2010101000</v>
      </c>
      <c r="M26" s="114" t="s">
        <v>25</v>
      </c>
      <c r="N26" s="114"/>
      <c r="O26" s="114">
        <f t="shared" si="3"/>
        <v>268878.54000000004</v>
      </c>
      <c r="P26" s="114"/>
      <c r="Q26" s="114">
        <f t="shared" si="2"/>
        <v>268878.54000000004</v>
      </c>
      <c r="R26" s="114"/>
      <c r="S26" s="114"/>
      <c r="T26" s="105"/>
      <c r="U26" s="105"/>
      <c r="V26" s="105"/>
    </row>
    <row r="27" spans="1:22" x14ac:dyDescent="0.25">
      <c r="A27" s="112"/>
      <c r="B27" s="265">
        <v>5021203000</v>
      </c>
      <c r="C27" s="124" t="s">
        <v>46</v>
      </c>
      <c r="D27" s="239">
        <f>IFERROR(VLOOKUP(B27,'WORKING PAPER FC1'!$I$19:$J$31,2,FALSE),0)</f>
        <v>0</v>
      </c>
      <c r="E27" s="124"/>
      <c r="F27" s="239">
        <f>IFERROR(VLOOKUP(B27,'WORKING PAPER FC1'!$I$11:$J$12,2,FALSE),0)</f>
        <v>0</v>
      </c>
      <c r="G27" s="114">
        <f>-'[9]MARCH 2023 arranged per ADA'!$EM$2877</f>
        <v>-620623.19999999995</v>
      </c>
      <c r="H27" s="124" t="s">
        <v>46</v>
      </c>
      <c r="I27" s="114">
        <f t="shared" si="4"/>
        <v>620623.19999999995</v>
      </c>
      <c r="J27" s="114"/>
      <c r="K27" s="196">
        <f t="shared" si="5"/>
        <v>-620623.19999999995</v>
      </c>
      <c r="L27" s="222">
        <v>2010101000</v>
      </c>
      <c r="M27" s="114" t="s">
        <v>25</v>
      </c>
      <c r="N27" s="114"/>
      <c r="O27" s="114">
        <f t="shared" si="3"/>
        <v>620623.19999999995</v>
      </c>
      <c r="P27" s="114"/>
      <c r="Q27" s="114">
        <f t="shared" si="2"/>
        <v>620623.19999999995</v>
      </c>
      <c r="R27" s="114"/>
      <c r="S27" s="114"/>
      <c r="T27" s="105"/>
      <c r="U27" s="105"/>
      <c r="V27" s="105"/>
    </row>
    <row r="28" spans="1:22" x14ac:dyDescent="0.25">
      <c r="A28" s="112"/>
      <c r="B28" s="265">
        <v>5021499000</v>
      </c>
      <c r="C28" s="124" t="s">
        <v>34</v>
      </c>
      <c r="D28" s="239">
        <f>IFERROR(VLOOKUP(B28,'WORKING PAPER FC1'!$I$19:$J$31,2,FALSE),0)</f>
        <v>0</v>
      </c>
      <c r="E28" s="124"/>
      <c r="F28" s="239">
        <v>0</v>
      </c>
      <c r="G28" s="114">
        <f>-'[8]FEBRUARY 2023 SORT REV'!$EL$796-'[8]FEBRUARY 2023 SORT REV'!$EL$797-150000+3200</f>
        <v>-154000</v>
      </c>
      <c r="H28" s="124" t="s">
        <v>34</v>
      </c>
      <c r="I28" s="114">
        <f t="shared" si="4"/>
        <v>154000</v>
      </c>
      <c r="J28" s="114"/>
      <c r="K28" s="196">
        <f t="shared" si="5"/>
        <v>-154000</v>
      </c>
      <c r="L28" s="222">
        <v>2020104000</v>
      </c>
      <c r="M28" s="124" t="s">
        <v>190</v>
      </c>
      <c r="N28" s="114"/>
      <c r="O28" s="114">
        <f t="shared" si="3"/>
        <v>154000</v>
      </c>
      <c r="P28" s="114"/>
      <c r="Q28" s="114">
        <f>O28</f>
        <v>154000</v>
      </c>
      <c r="R28" s="114"/>
      <c r="S28" s="114"/>
      <c r="T28" s="105"/>
      <c r="U28" s="105"/>
      <c r="V28" s="105"/>
    </row>
    <row r="29" spans="1:22" x14ac:dyDescent="0.25">
      <c r="A29" s="112"/>
      <c r="B29" s="265">
        <v>5020501000</v>
      </c>
      <c r="C29" s="124" t="s">
        <v>193</v>
      </c>
      <c r="D29" s="239">
        <f>IFERROR(VLOOKUP(B29,'WORKING PAPER FC1'!$I$19:$J$31,2,FALSE),0)</f>
        <v>0</v>
      </c>
      <c r="E29" s="124"/>
      <c r="F29" s="239">
        <f>IFERROR(VLOOKUP(B29,'WORKING PAPER FC1'!$I$11:$J$12,2,FALSE),0)</f>
        <v>0</v>
      </c>
      <c r="G29" s="114">
        <f>-'[7]JANUARY 2023'!$EL$599</f>
        <v>-7297</v>
      </c>
      <c r="H29" s="124" t="s">
        <v>193</v>
      </c>
      <c r="I29" s="114">
        <f t="shared" si="4"/>
        <v>7297</v>
      </c>
      <c r="J29" s="114"/>
      <c r="K29" s="196">
        <f>G29</f>
        <v>-7297</v>
      </c>
      <c r="L29" s="222">
        <v>1010102000</v>
      </c>
      <c r="M29" s="114" t="s">
        <v>64</v>
      </c>
      <c r="N29" s="114"/>
      <c r="O29" s="114">
        <f t="shared" si="3"/>
        <v>7297</v>
      </c>
      <c r="P29" s="114">
        <f>O29*-1</f>
        <v>-7297</v>
      </c>
      <c r="Q29" s="114"/>
      <c r="R29" s="114"/>
      <c r="S29" s="114"/>
      <c r="T29" s="105"/>
      <c r="U29" s="105"/>
      <c r="V29" s="105"/>
    </row>
    <row r="30" spans="1:22" ht="31.5" x14ac:dyDescent="0.25">
      <c r="A30" s="112"/>
      <c r="B30" s="265">
        <v>5020399000</v>
      </c>
      <c r="C30" s="124" t="s">
        <v>33</v>
      </c>
      <c r="D30" s="239"/>
      <c r="E30" s="124"/>
      <c r="F30" s="239">
        <f>IFERROR(VLOOKUP(B30,'WORKING PAPER FC1'!$I$11:$J$12,2,FALSE),0)</f>
        <v>0</v>
      </c>
      <c r="G30" s="114">
        <f>-'[7]JANUARY 2023'!$EL$590-'[7]JANUARY 2023'!$EL$600-'[8]FEBRUARY 2023 SORT REV'!$EL$745-14236.5</f>
        <v>-43686.94</v>
      </c>
      <c r="H30" s="124" t="s">
        <v>33</v>
      </c>
      <c r="I30" s="114">
        <f t="shared" si="4"/>
        <v>43686.94</v>
      </c>
      <c r="J30" s="114"/>
      <c r="K30" s="196">
        <f>G30</f>
        <v>-43686.94</v>
      </c>
      <c r="L30" s="222">
        <v>1010102000</v>
      </c>
      <c r="M30" s="114" t="s">
        <v>64</v>
      </c>
      <c r="N30" s="114"/>
      <c r="O30" s="114">
        <f t="shared" si="3"/>
        <v>43686.94</v>
      </c>
      <c r="P30" s="114">
        <f>O30*-1</f>
        <v>-43686.94</v>
      </c>
      <c r="Q30" s="114"/>
      <c r="R30" s="114"/>
      <c r="S30" s="114"/>
      <c r="T30" s="105"/>
      <c r="U30" s="105"/>
      <c r="V30" s="105"/>
    </row>
    <row r="31" spans="1:22" ht="31.5" x14ac:dyDescent="0.25">
      <c r="A31" s="112"/>
      <c r="B31" s="265">
        <v>5020399000</v>
      </c>
      <c r="C31" s="124" t="s">
        <v>33</v>
      </c>
      <c r="D31" s="239"/>
      <c r="E31" s="124"/>
      <c r="F31" s="239">
        <f>IFERROR(VLOOKUP(B31,'WORKING PAPER FC1'!$I$11:$J$12,2,FALSE),0)</f>
        <v>0</v>
      </c>
      <c r="G31" s="114">
        <f>-'[9]MARCH 2023 arranged per ADA'!$EM$2872-'[6]ADAdj-APRGOP'!$O$1022+'WORKING PAPER FC1'!T23</f>
        <v>-237184</v>
      </c>
      <c r="H31" s="124" t="s">
        <v>33</v>
      </c>
      <c r="I31" s="114">
        <f t="shared" si="4"/>
        <v>237184</v>
      </c>
      <c r="J31" s="114"/>
      <c r="K31" s="196">
        <f>G31</f>
        <v>-237184</v>
      </c>
      <c r="L31" s="222">
        <v>2010101000</v>
      </c>
      <c r="M31" s="114" t="s">
        <v>25</v>
      </c>
      <c r="N31" s="114"/>
      <c r="O31" s="114">
        <f>I31</f>
        <v>237184</v>
      </c>
      <c r="P31" s="114"/>
      <c r="Q31" s="114">
        <f>O31</f>
        <v>237184</v>
      </c>
      <c r="R31" s="114"/>
      <c r="S31" s="114"/>
      <c r="T31" s="105"/>
      <c r="U31" s="105"/>
      <c r="V31" s="105"/>
    </row>
    <row r="32" spans="1:22" x14ac:dyDescent="0.25">
      <c r="A32" s="112"/>
      <c r="B32" s="265">
        <v>5020301002</v>
      </c>
      <c r="C32" s="124" t="s">
        <v>30</v>
      </c>
      <c r="D32" s="239">
        <f>IFERROR(VLOOKUP(B32,'WORKING PAPER FC1'!$I$19:$J$31,2,FALSE),0)</f>
        <v>0</v>
      </c>
      <c r="E32" s="124"/>
      <c r="F32" s="239">
        <f>IFERROR(VLOOKUP(B32,'WORKING PAPER FC1'!$I$11:$J$12,2,FALSE),0)</f>
        <v>0</v>
      </c>
      <c r="G32" s="114">
        <f>-'[9]MARCH 2023 arranged per ADA'!$EM$2867+'[9]MARCH 2023 arranged per ADA'!$AV$258+'[9]MARCH 2023 arranged per ADA'!$AV$282-'[6]ADAdj-APRGOP'!$O$1020-5000-192147.95-1970-6250</f>
        <v>-540789.21</v>
      </c>
      <c r="H32" s="124" t="s">
        <v>30</v>
      </c>
      <c r="I32" s="114">
        <f t="shared" si="4"/>
        <v>539768.47</v>
      </c>
      <c r="J32" s="114">
        <f>'[9]MARCH 2023 arranged per ADA'!$AV$282+'[9]MARCH 2023 arranged per ADA'!$AV$258</f>
        <v>1020.74</v>
      </c>
      <c r="K32" s="196">
        <f>-I32-J32</f>
        <v>-540789.21</v>
      </c>
      <c r="L32" s="222">
        <v>2010101000</v>
      </c>
      <c r="M32" s="114" t="s">
        <v>25</v>
      </c>
      <c r="N32" s="114">
        <f>J32</f>
        <v>1020.74</v>
      </c>
      <c r="O32" s="114">
        <f>I32</f>
        <v>539768.47</v>
      </c>
      <c r="P32" s="114"/>
      <c r="Q32" s="114">
        <f>N32+O32</f>
        <v>540789.21</v>
      </c>
      <c r="R32" s="114"/>
      <c r="S32" s="114"/>
      <c r="T32" s="105"/>
      <c r="U32" s="105"/>
      <c r="V32" s="105"/>
    </row>
    <row r="33" spans="1:22" x14ac:dyDescent="0.25">
      <c r="A33" s="112"/>
      <c r="B33" s="265">
        <v>5020301002</v>
      </c>
      <c r="C33" s="124" t="s">
        <v>30</v>
      </c>
      <c r="D33" s="239"/>
      <c r="E33" s="124"/>
      <c r="F33" s="239"/>
      <c r="G33" s="114">
        <v>0</v>
      </c>
      <c r="H33" s="124" t="s">
        <v>30</v>
      </c>
      <c r="I33" s="114">
        <f t="shared" si="4"/>
        <v>0</v>
      </c>
      <c r="J33" s="114"/>
      <c r="K33" s="196">
        <f>-I33-J33</f>
        <v>0</v>
      </c>
      <c r="L33" s="222">
        <v>1040401000</v>
      </c>
      <c r="M33" s="114" t="s">
        <v>269</v>
      </c>
      <c r="N33" s="114"/>
      <c r="O33" s="114">
        <f>I33</f>
        <v>0</v>
      </c>
      <c r="P33" s="114">
        <f>O33*-1</f>
        <v>0</v>
      </c>
      <c r="Q33" s="114"/>
      <c r="R33" s="114"/>
      <c r="S33" s="114"/>
      <c r="T33" s="105"/>
      <c r="U33" s="105"/>
      <c r="V33" s="105"/>
    </row>
    <row r="34" spans="1:22" ht="31.5" x14ac:dyDescent="0.25">
      <c r="A34" s="112"/>
      <c r="B34" s="265">
        <v>5020399000</v>
      </c>
      <c r="C34" s="124" t="s">
        <v>249</v>
      </c>
      <c r="D34" s="239">
        <f>IFERROR(VLOOKUP(B34,'WORKING PAPER FC1'!$I$19:$J$31,2,FALSE),0)</f>
        <v>0</v>
      </c>
      <c r="E34" s="124"/>
      <c r="F34" s="239">
        <f>IFERROR(VLOOKUP(B34,'WORKING PAPER FC1'!$I$11:$J$12,2,FALSE),0)</f>
        <v>0</v>
      </c>
      <c r="G34" s="114">
        <f>-54307611.06-'[10]JEV-GJ.'!$H$607-33118735.6+'[9]MARCH 2023 arranged per ADA'!$AV$447-[11]April!$G$259-[12]April!$G$463+D34+'WORKING PAPER FC1'!T19+'WORKING PAPER FC1'!Z12-31946848.39-27140359.81+'WORKING PAPER FC1'!AC56-24785357.95</f>
        <v>-211076562.61000001</v>
      </c>
      <c r="H34" s="124" t="s">
        <v>249</v>
      </c>
      <c r="I34" s="114">
        <f t="shared" si="4"/>
        <v>211076562.59</v>
      </c>
      <c r="J34" s="114">
        <f>'[9]MARCH 2023 arranged per ADA'!$AV$447</f>
        <v>0.02</v>
      </c>
      <c r="K34" s="196">
        <f>-I34-J34</f>
        <v>-211076562.61000001</v>
      </c>
      <c r="L34" s="222">
        <v>1040299000</v>
      </c>
      <c r="M34" s="114" t="s">
        <v>35</v>
      </c>
      <c r="N34" s="114">
        <f>J34</f>
        <v>0.02</v>
      </c>
      <c r="O34" s="114">
        <f>I34</f>
        <v>211076562.59</v>
      </c>
      <c r="P34" s="114">
        <f>(N34+O34)*-1</f>
        <v>-211076562.61000001</v>
      </c>
      <c r="Q34" s="114"/>
      <c r="R34" s="114"/>
      <c r="S34" s="114"/>
      <c r="T34" s="105"/>
      <c r="U34" s="253"/>
      <c r="V34" s="99"/>
    </row>
    <row r="35" spans="1:22" x14ac:dyDescent="0.25">
      <c r="A35" s="112"/>
      <c r="B35" s="265">
        <v>5020306000</v>
      </c>
      <c r="C35" s="124" t="s">
        <v>209</v>
      </c>
      <c r="D35" s="239">
        <f>IFERROR(VLOOKUP(B35,'WORKING PAPER FC1'!$I$19:$J$31,2,FALSE),0)</f>
        <v>0</v>
      </c>
      <c r="E35" s="124"/>
      <c r="F35" s="239">
        <f>IFERROR(VLOOKUP(B35,'WORKING PAPER FC1'!$I$11:$J$12,2,FALSE),0)</f>
        <v>0</v>
      </c>
      <c r="G35" s="114">
        <f>-12695548.74-757035.32-'[13]JEV-GJ.'!$H$11-'[13]JEV-GJ.'!$H$115-6506407.67-22250-48440.94-1389254-1508262-1858149.11-515438.72-1346258.02-78689-322818+580752.5+D35+'WORKING PAPER FC1'!T26+'WORKING PAPER FC1'!Z14-35254768.62+'WORKING PAPER FC1'!AC58+'WORKING PAPER FC1'!AD58-217555311.83-5295271.87</f>
        <v>-291391372.74898708</v>
      </c>
      <c r="H35" s="124" t="s">
        <v>209</v>
      </c>
      <c r="I35" s="114">
        <f>G35*-1-J35-5295271.87</f>
        <v>286096100.87898707</v>
      </c>
      <c r="J35" s="114"/>
      <c r="K35" s="196">
        <f>I35*-1</f>
        <v>-286096100.87898707</v>
      </c>
      <c r="L35" s="222">
        <v>1040202000</v>
      </c>
      <c r="M35" s="114" t="s">
        <v>36</v>
      </c>
      <c r="N35" s="114"/>
      <c r="O35" s="114">
        <f>G35*-1</f>
        <v>291391372.74898708</v>
      </c>
      <c r="P35" s="114">
        <f>(N35+O35)*-1</f>
        <v>-291391372.74898708</v>
      </c>
      <c r="Q35" s="114"/>
      <c r="R35" s="114"/>
      <c r="S35" s="114">
        <v>-5295271.87</v>
      </c>
      <c r="T35" s="105"/>
      <c r="U35" s="105"/>
      <c r="V35" s="105"/>
    </row>
    <row r="36" spans="1:22" x14ac:dyDescent="0.25">
      <c r="A36" s="112"/>
      <c r="B36" s="265">
        <v>5021499000</v>
      </c>
      <c r="C36" s="124" t="s">
        <v>34</v>
      </c>
      <c r="D36" s="239">
        <f>IFERROR(VLOOKUP(B36,'WORKING PAPER FC1'!$I$19:$J$31,2,FALSE),0)</f>
        <v>0</v>
      </c>
      <c r="E36" s="124"/>
      <c r="F36" s="239">
        <f>IFERROR(VLOOKUP(B36,'WORKING PAPER FC1'!$I$11:$J$12,2,FALSE),0)</f>
        <v>0</v>
      </c>
      <c r="G36" s="114">
        <f>-'[8]FEBRUARY 2023 SORT REV'!$EL$686-'[8]FEBRUARY 2023 SORT REV'!$EL$687-'[8]FEBRUARY 2023 SORT REV'!$EL$718-'[9]MARCH 2023 arranged per ADA'!$EM$2880-5000-1010000-1235000+F36+'WORKING PAPER FC1'!T13+412144.42+2262819.44</f>
        <v>-6526692.540000001</v>
      </c>
      <c r="H36" s="124" t="s">
        <v>34</v>
      </c>
      <c r="I36" s="114">
        <f t="shared" ref="I36:I80" si="6">G36*-1-J36</f>
        <v>6526692.540000001</v>
      </c>
      <c r="J36" s="114"/>
      <c r="K36" s="196">
        <f t="shared" si="5"/>
        <v>-6526692.540000001</v>
      </c>
      <c r="L36" s="222">
        <v>2010101000</v>
      </c>
      <c r="M36" s="114" t="s">
        <v>25</v>
      </c>
      <c r="N36" s="114"/>
      <c r="O36" s="114">
        <f t="shared" si="3"/>
        <v>6526692.540000001</v>
      </c>
      <c r="P36" s="114"/>
      <c r="Q36" s="114">
        <f t="shared" ref="Q36:Q44" si="7">O36</f>
        <v>6526692.540000001</v>
      </c>
      <c r="R36" s="114"/>
      <c r="S36" s="114"/>
      <c r="T36" s="105"/>
      <c r="U36" s="105"/>
      <c r="V36" s="105"/>
    </row>
    <row r="37" spans="1:22" x14ac:dyDescent="0.25">
      <c r="A37" s="112"/>
      <c r="B37" s="265">
        <v>5021503000</v>
      </c>
      <c r="C37" s="124" t="s">
        <v>40</v>
      </c>
      <c r="D37" s="239">
        <f>IFERROR(VLOOKUP(B37,'WORKING PAPER FC1'!$I$19:$J$31,2,FALSE),0)</f>
        <v>0</v>
      </c>
      <c r="E37" s="124"/>
      <c r="F37" s="239">
        <f>IFERROR(VLOOKUP(B37,'WORKING PAPER FC1'!$I$11:$J$12,2,FALSE),0)</f>
        <v>0</v>
      </c>
      <c r="G37" s="114">
        <v>-17253.64</v>
      </c>
      <c r="H37" s="124" t="s">
        <v>40</v>
      </c>
      <c r="I37" s="114">
        <f t="shared" si="6"/>
        <v>17253.64</v>
      </c>
      <c r="J37" s="114"/>
      <c r="K37" s="196">
        <f t="shared" si="5"/>
        <v>-17253.64</v>
      </c>
      <c r="L37" s="222">
        <v>2010101000</v>
      </c>
      <c r="M37" s="114" t="s">
        <v>25</v>
      </c>
      <c r="N37" s="114"/>
      <c r="O37" s="114">
        <f t="shared" si="3"/>
        <v>17253.64</v>
      </c>
      <c r="P37" s="114"/>
      <c r="Q37" s="114">
        <f t="shared" si="7"/>
        <v>17253.64</v>
      </c>
      <c r="R37" s="114"/>
      <c r="S37" s="114"/>
      <c r="T37" s="105"/>
      <c r="U37" s="105"/>
      <c r="V37" s="105"/>
    </row>
    <row r="38" spans="1:22" x14ac:dyDescent="0.25">
      <c r="A38" s="112"/>
      <c r="B38" s="265">
        <v>5020402000</v>
      </c>
      <c r="C38" s="124" t="s">
        <v>39</v>
      </c>
      <c r="D38" s="239">
        <f>IFERROR(VLOOKUP(B38,'WORKING PAPER FC1'!$I$19:$J$31,2,FALSE),0)</f>
        <v>0</v>
      </c>
      <c r="E38" s="124"/>
      <c r="F38" s="239">
        <f>IFERROR(VLOOKUP(B38,'WORKING PAPER FC1'!$I$11:$J$12,2,FALSE),0)</f>
        <v>0</v>
      </c>
      <c r="G38" s="114">
        <f>-39124.6-'[4]ADAdj-APRGOP'!$BX$119-'[4]ADAdj-APRGOP'!$BX$120-'[4]ADAdj-APRGOP'!$BX$121-'[4]ADAdj-APRGOP'!$BX$122-'[4]ADAdj-APRGOP'!$BX$123-'[4]ADAdj-APRGOP'!$BX$136</f>
        <v>-82936.739999999991</v>
      </c>
      <c r="H38" s="113" t="s">
        <v>39</v>
      </c>
      <c r="I38" s="114">
        <f t="shared" si="6"/>
        <v>82936.739999999991</v>
      </c>
      <c r="J38" s="114"/>
      <c r="K38" s="196">
        <f t="shared" si="5"/>
        <v>-82936.739999999991</v>
      </c>
      <c r="L38" s="222">
        <v>2010101000</v>
      </c>
      <c r="M38" s="114" t="s">
        <v>25</v>
      </c>
      <c r="N38" s="114"/>
      <c r="O38" s="114">
        <f t="shared" si="3"/>
        <v>82936.739999999991</v>
      </c>
      <c r="P38" s="114"/>
      <c r="Q38" s="114">
        <f t="shared" si="7"/>
        <v>82936.739999999991</v>
      </c>
      <c r="R38" s="114"/>
      <c r="S38" s="114"/>
      <c r="T38" s="105"/>
      <c r="U38" s="105"/>
      <c r="V38" s="105"/>
    </row>
    <row r="39" spans="1:22" x14ac:dyDescent="0.25">
      <c r="A39" s="112"/>
      <c r="B39" s="265">
        <v>5020602000</v>
      </c>
      <c r="C39" s="124" t="s">
        <v>204</v>
      </c>
      <c r="D39" s="239">
        <f>IFERROR(VLOOKUP(B39,'WORKING PAPER FC1'!$I$19:$J$31,2,FALSE),0)</f>
        <v>0</v>
      </c>
      <c r="E39" s="124"/>
      <c r="F39" s="239">
        <f>IFERROR(VLOOKUP(B39,'WORKING PAPER FC1'!$I$11:$J$12,2,FALSE),0)</f>
        <v>0</v>
      </c>
      <c r="G39" s="114">
        <f>-'[6]ADAdj-APRGOP'!$O$1023</f>
        <v>-24000</v>
      </c>
      <c r="H39" s="124" t="s">
        <v>204</v>
      </c>
      <c r="I39" s="114">
        <f t="shared" si="6"/>
        <v>24000</v>
      </c>
      <c r="J39" s="114"/>
      <c r="K39" s="196">
        <f t="shared" si="5"/>
        <v>-24000</v>
      </c>
      <c r="L39" s="222">
        <v>2010101000</v>
      </c>
      <c r="M39" s="114" t="s">
        <v>25</v>
      </c>
      <c r="N39" s="114"/>
      <c r="O39" s="114">
        <f t="shared" si="3"/>
        <v>24000</v>
      </c>
      <c r="P39" s="114"/>
      <c r="Q39" s="114">
        <f t="shared" si="7"/>
        <v>24000</v>
      </c>
      <c r="R39" s="114"/>
      <c r="S39" s="114"/>
      <c r="T39" s="105"/>
      <c r="U39" s="105"/>
      <c r="V39" s="105"/>
    </row>
    <row r="40" spans="1:22" x14ac:dyDescent="0.25">
      <c r="A40" s="112"/>
      <c r="B40" s="265">
        <v>5029903000</v>
      </c>
      <c r="C40" s="124" t="s">
        <v>42</v>
      </c>
      <c r="D40" s="239">
        <f>IFERROR(VLOOKUP(B40,'WORKING PAPER FC1'!$I$19:$J$31,2,FALSE),0)</f>
        <v>0</v>
      </c>
      <c r="E40" s="254">
        <f>'WORKING PAPER FC1'!J14</f>
        <v>0</v>
      </c>
      <c r="F40" s="239">
        <f>IFERROR(VLOOKUP(B40,'WORKING PAPER FC1'!$I$11:$J$12,2,FALSE),0)</f>
        <v>0</v>
      </c>
      <c r="G40" s="114">
        <f>-'[9]MARCH 2023 arranged per ADA'!$EM$2882-'[6]ADAdj-APRGOP'!$O$1026-73868.75-505830-369149-147850-15200-96300+E40+'WORKING PAPER FC1'!T12+'WORKING PAPER FC1'!AC8-24500-10000-78992.5</f>
        <v>-1609140.25</v>
      </c>
      <c r="H40" s="113" t="s">
        <v>42</v>
      </c>
      <c r="I40" s="114">
        <f t="shared" si="6"/>
        <v>1609140.25</v>
      </c>
      <c r="J40" s="114"/>
      <c r="K40" s="196">
        <f t="shared" si="5"/>
        <v>-1609140.25</v>
      </c>
      <c r="L40" s="222">
        <v>2010101000</v>
      </c>
      <c r="M40" s="114" t="s">
        <v>25</v>
      </c>
      <c r="N40" s="114"/>
      <c r="O40" s="114">
        <f t="shared" si="3"/>
        <v>1609140.25</v>
      </c>
      <c r="P40" s="114"/>
      <c r="Q40" s="114">
        <f t="shared" si="7"/>
        <v>1609140.25</v>
      </c>
      <c r="R40" s="114"/>
      <c r="S40" s="114"/>
      <c r="T40" s="105"/>
      <c r="U40" s="105"/>
      <c r="V40" s="105"/>
    </row>
    <row r="41" spans="1:22" x14ac:dyDescent="0.25">
      <c r="A41" s="112"/>
      <c r="B41" s="265">
        <v>5020401000</v>
      </c>
      <c r="C41" s="124" t="s">
        <v>38</v>
      </c>
      <c r="D41" s="239">
        <f>IFERROR(VLOOKUP(B41,'WORKING PAPER FC1'!$I$19:$J$31,2,FALSE),0)</f>
        <v>0</v>
      </c>
      <c r="E41" s="124"/>
      <c r="F41" s="239">
        <f>IFERROR(VLOOKUP(B41,'WORKING PAPER FC1'!$I$11:$J$12,2,FALSE),0)</f>
        <v>0</v>
      </c>
      <c r="G41" s="114">
        <f>-'[7]JANUARY 2023'!$EL$598</f>
        <v>-48338.400000000001</v>
      </c>
      <c r="H41" s="124" t="s">
        <v>38</v>
      </c>
      <c r="I41" s="114">
        <f t="shared" si="6"/>
        <v>48338.400000000001</v>
      </c>
      <c r="J41" s="114"/>
      <c r="K41" s="196">
        <f t="shared" si="5"/>
        <v>-48338.400000000001</v>
      </c>
      <c r="L41" s="222">
        <v>2010101000</v>
      </c>
      <c r="M41" s="114" t="s">
        <v>25</v>
      </c>
      <c r="N41" s="114"/>
      <c r="O41" s="114">
        <f t="shared" si="3"/>
        <v>48338.400000000001</v>
      </c>
      <c r="P41" s="114"/>
      <c r="Q41" s="114">
        <f t="shared" si="7"/>
        <v>48338.400000000001</v>
      </c>
      <c r="R41" s="114"/>
      <c r="S41" s="114"/>
      <c r="T41" s="105"/>
      <c r="U41" s="105"/>
      <c r="V41" s="105"/>
    </row>
    <row r="42" spans="1:22" x14ac:dyDescent="0.25">
      <c r="A42" s="112"/>
      <c r="B42" s="265">
        <v>5020301001</v>
      </c>
      <c r="C42" s="124" t="s">
        <v>192</v>
      </c>
      <c r="D42" s="239">
        <f>IFERROR(VLOOKUP(B42,'WORKING PAPER FC1'!$I$19:$J$31,2,FALSE),0)</f>
        <v>0</v>
      </c>
      <c r="E42" s="124"/>
      <c r="F42" s="239">
        <f>IFERROR(VLOOKUP(B42,'WORKING PAPER FC1'!$I$11:$J$12,2,FALSE),0)</f>
        <v>0</v>
      </c>
      <c r="G42" s="114">
        <f>-'[7]JANUARY 2023'!$EL$591-'[7]JANUARY 2023'!$EL$603-'[7]JANUARY 2023'!$EL$604</f>
        <v>-17499.21</v>
      </c>
      <c r="H42" s="124" t="s">
        <v>192</v>
      </c>
      <c r="I42" s="114">
        <f t="shared" si="6"/>
        <v>17499.21</v>
      </c>
      <c r="J42" s="114"/>
      <c r="K42" s="196">
        <f t="shared" si="5"/>
        <v>-17499.21</v>
      </c>
      <c r="L42" s="222">
        <v>2010101000</v>
      </c>
      <c r="M42" s="114" t="s">
        <v>25</v>
      </c>
      <c r="N42" s="114"/>
      <c r="O42" s="114">
        <f t="shared" si="3"/>
        <v>17499.21</v>
      </c>
      <c r="P42" s="114"/>
      <c r="Q42" s="114">
        <f t="shared" si="7"/>
        <v>17499.21</v>
      </c>
      <c r="R42" s="114"/>
      <c r="S42" s="114"/>
      <c r="T42" s="105"/>
      <c r="U42" s="105"/>
      <c r="V42" s="105"/>
    </row>
    <row r="43" spans="1:22" x14ac:dyDescent="0.25">
      <c r="A43" s="112"/>
      <c r="B43" s="265">
        <v>5020305000</v>
      </c>
      <c r="C43" s="124" t="s">
        <v>31</v>
      </c>
      <c r="D43" s="239">
        <f>IFERROR(VLOOKUP(B43,'WORKING PAPER FC1'!$I$19:$J$31,2,FALSE),0)</f>
        <v>0</v>
      </c>
      <c r="E43" s="124"/>
      <c r="F43" s="239">
        <f>IFERROR(VLOOKUP(B43,'WORKING PAPER FC1'!$I$11:$J$12,2,FALSE),0)</f>
        <v>0</v>
      </c>
      <c r="G43" s="114">
        <f>-'[9]MARCH 2023 arranged per ADA'!$EM$2868+D43</f>
        <v>-845533.82</v>
      </c>
      <c r="H43" s="124" t="s">
        <v>31</v>
      </c>
      <c r="I43" s="114">
        <f t="shared" si="6"/>
        <v>845533.82</v>
      </c>
      <c r="J43" s="114"/>
      <c r="K43" s="196">
        <f t="shared" si="5"/>
        <v>-845533.82</v>
      </c>
      <c r="L43" s="222">
        <v>2010101000</v>
      </c>
      <c r="M43" s="114" t="s">
        <v>25</v>
      </c>
      <c r="N43" s="114"/>
      <c r="O43" s="114">
        <f t="shared" si="3"/>
        <v>845533.82</v>
      </c>
      <c r="P43" s="114"/>
      <c r="Q43" s="114">
        <f t="shared" si="7"/>
        <v>845533.82</v>
      </c>
      <c r="R43" s="114"/>
      <c r="S43" s="114"/>
      <c r="T43" s="105"/>
      <c r="U43" s="105"/>
      <c r="V43" s="105"/>
    </row>
    <row r="44" spans="1:22" ht="31.5" x14ac:dyDescent="0.25">
      <c r="A44" s="112"/>
      <c r="B44" s="265">
        <v>5020307000</v>
      </c>
      <c r="C44" s="124" t="s">
        <v>43</v>
      </c>
      <c r="D44" s="239"/>
      <c r="E44" s="124"/>
      <c r="F44" s="239">
        <f>IFERROR(VLOOKUP(B44,'WORKING PAPER FC1'!$I$11:$J$12,2,FALSE),0)</f>
        <v>0</v>
      </c>
      <c r="G44" s="114">
        <f>-'[9]MARCH 2023 arranged per ADA'!$EM$2869</f>
        <v>-449287.84</v>
      </c>
      <c r="H44" s="124" t="s">
        <v>43</v>
      </c>
      <c r="I44" s="114">
        <f t="shared" si="6"/>
        <v>449287.84</v>
      </c>
      <c r="J44" s="114"/>
      <c r="K44" s="196">
        <f t="shared" si="5"/>
        <v>-449287.84</v>
      </c>
      <c r="L44" s="222">
        <v>2010101000</v>
      </c>
      <c r="M44" s="114" t="s">
        <v>25</v>
      </c>
      <c r="N44" s="114"/>
      <c r="O44" s="114">
        <f t="shared" si="3"/>
        <v>449287.84</v>
      </c>
      <c r="P44" s="114"/>
      <c r="Q44" s="114">
        <f t="shared" si="7"/>
        <v>449287.84</v>
      </c>
      <c r="R44" s="114"/>
      <c r="S44" s="114"/>
      <c r="T44" s="105"/>
      <c r="U44" s="105"/>
      <c r="V44" s="105"/>
    </row>
    <row r="45" spans="1:22" ht="31.5" x14ac:dyDescent="0.25">
      <c r="A45" s="112"/>
      <c r="B45" s="265">
        <v>5020307000</v>
      </c>
      <c r="C45" s="124" t="s">
        <v>43</v>
      </c>
      <c r="D45" s="239">
        <f>IFERROR(VLOOKUP(B45,'WORKING PAPER FC1'!$I$19:$J$31,2,FALSE),0)</f>
        <v>0</v>
      </c>
      <c r="E45" s="124"/>
      <c r="F45" s="239"/>
      <c r="G45" s="114">
        <f>-'WORKING PAPER FC1'!L31</f>
        <v>150000</v>
      </c>
      <c r="H45" s="124" t="s">
        <v>43</v>
      </c>
      <c r="I45" s="114">
        <f t="shared" si="6"/>
        <v>-150000</v>
      </c>
      <c r="J45" s="114"/>
      <c r="K45" s="196">
        <f t="shared" si="5"/>
        <v>150000</v>
      </c>
      <c r="L45" s="222">
        <v>1040406000</v>
      </c>
      <c r="M45" s="191" t="s">
        <v>268</v>
      </c>
      <c r="N45" s="114"/>
      <c r="O45" s="114">
        <f t="shared" si="3"/>
        <v>-150000</v>
      </c>
      <c r="P45" s="114">
        <f>-O45</f>
        <v>150000</v>
      </c>
      <c r="Q45" s="114"/>
      <c r="R45" s="114"/>
      <c r="S45" s="114"/>
      <c r="T45" s="105"/>
      <c r="U45" s="105"/>
      <c r="V45" s="105"/>
    </row>
    <row r="46" spans="1:22" x14ac:dyDescent="0.25">
      <c r="A46" s="112"/>
      <c r="B46" s="265">
        <v>5020305000</v>
      </c>
      <c r="C46" s="124" t="s">
        <v>31</v>
      </c>
      <c r="D46" s="239"/>
      <c r="E46" s="124"/>
      <c r="F46" s="239">
        <f>IFERROR(VLOOKUP(B46,'WORKING PAPER FC1'!$I$11:$J$12,2,FALSE),0)</f>
        <v>0</v>
      </c>
      <c r="G46" s="114">
        <f>-'[7]JANUARY 2023'!$EL$227-'[7]JANUARY 2023'!$EL$588</f>
        <v>-20335.93</v>
      </c>
      <c r="H46" s="124" t="s">
        <v>31</v>
      </c>
      <c r="I46" s="114">
        <f t="shared" si="6"/>
        <v>20335.93</v>
      </c>
      <c r="J46" s="114"/>
      <c r="K46" s="196">
        <f t="shared" si="5"/>
        <v>-20335.93</v>
      </c>
      <c r="L46" s="222">
        <v>1010102000</v>
      </c>
      <c r="M46" s="191" t="s">
        <v>64</v>
      </c>
      <c r="N46" s="114"/>
      <c r="O46" s="114">
        <f t="shared" si="3"/>
        <v>20335.93</v>
      </c>
      <c r="P46" s="114">
        <f>-O46</f>
        <v>-20335.93</v>
      </c>
      <c r="Q46" s="114"/>
      <c r="R46" s="114"/>
      <c r="S46" s="114"/>
      <c r="T46" s="105"/>
      <c r="U46" s="105"/>
      <c r="V46" s="105"/>
    </row>
    <row r="47" spans="1:22" ht="27" customHeight="1" x14ac:dyDescent="0.25">
      <c r="A47" s="112"/>
      <c r="B47" s="265">
        <v>5020305000</v>
      </c>
      <c r="C47" s="124" t="s">
        <v>31</v>
      </c>
      <c r="D47" s="239"/>
      <c r="E47" s="124"/>
      <c r="F47" s="239"/>
      <c r="G47" s="114">
        <f>'WORKING PAPER FC1'!T21</f>
        <v>-450000</v>
      </c>
      <c r="H47" s="124" t="s">
        <v>31</v>
      </c>
      <c r="I47" s="114">
        <f>G47</f>
        <v>-450000</v>
      </c>
      <c r="J47" s="114"/>
      <c r="K47" s="196">
        <f>G47*-1</f>
        <v>450000</v>
      </c>
      <c r="L47" s="222">
        <v>1040405000</v>
      </c>
      <c r="M47" s="191" t="s">
        <v>32</v>
      </c>
      <c r="N47" s="114"/>
      <c r="O47" s="114">
        <f>K47</f>
        <v>450000</v>
      </c>
      <c r="P47" s="114">
        <f>-O47</f>
        <v>-450000</v>
      </c>
      <c r="Q47" s="114"/>
      <c r="R47" s="114"/>
      <c r="S47" s="114"/>
      <c r="T47" s="105"/>
      <c r="U47" s="105"/>
      <c r="V47" s="105"/>
    </row>
    <row r="48" spans="1:22" ht="31.5" x14ac:dyDescent="0.25">
      <c r="A48" s="112"/>
      <c r="B48" s="265">
        <v>5020307000</v>
      </c>
      <c r="C48" s="124" t="s">
        <v>43</v>
      </c>
      <c r="D48" s="239"/>
      <c r="E48" s="124"/>
      <c r="F48" s="239">
        <f>IFERROR(VLOOKUP(B48,'WORKING PAPER FC1'!$I$11:$J$12,2,FALSE),0)</f>
        <v>0</v>
      </c>
      <c r="G48" s="114">
        <f>-'[7]JANUARY 2023'!$EL$229-'[7]JANUARY 2023'!$EL$589</f>
        <v>-6292.49</v>
      </c>
      <c r="H48" s="124" t="s">
        <v>43</v>
      </c>
      <c r="I48" s="114">
        <f t="shared" si="6"/>
        <v>6292.49</v>
      </c>
      <c r="J48" s="114"/>
      <c r="K48" s="196">
        <f t="shared" si="5"/>
        <v>-6292.49</v>
      </c>
      <c r="L48" s="222">
        <v>1010102000</v>
      </c>
      <c r="M48" s="191" t="s">
        <v>64</v>
      </c>
      <c r="N48" s="114"/>
      <c r="O48" s="114">
        <f t="shared" si="3"/>
        <v>6292.49</v>
      </c>
      <c r="P48" s="114">
        <f>O48*-1</f>
        <v>-6292.49</v>
      </c>
      <c r="Q48" s="114"/>
      <c r="R48" s="114"/>
      <c r="S48" s="114"/>
      <c r="T48" s="105"/>
      <c r="U48" s="105"/>
      <c r="V48" s="105"/>
    </row>
    <row r="49" spans="1:22" ht="29.25" customHeight="1" x14ac:dyDescent="0.25">
      <c r="A49" s="112"/>
      <c r="B49" s="265">
        <v>5021199000</v>
      </c>
      <c r="C49" s="124" t="s">
        <v>47</v>
      </c>
      <c r="D49" s="239">
        <f>IFERROR(VLOOKUP(B49,'WORKING PAPER FC1'!$I$19:$J$31,2,FALSE),0)</f>
        <v>0</v>
      </c>
      <c r="E49" s="124"/>
      <c r="F49" s="239">
        <f>IFERROR(VLOOKUP(B49,'WORKING PAPER FC1'!$I$11:$J$12,2,FALSE),0)</f>
        <v>0</v>
      </c>
      <c r="G49" s="114">
        <f>-'[7]JANUARY 2023'!$EL$605-95550+'WORKING PAPER FC1'!AC48+'WORKING PAPER FC1'!AC49+335968.94</f>
        <v>230563.94</v>
      </c>
      <c r="H49" s="124" t="s">
        <v>47</v>
      </c>
      <c r="I49" s="114">
        <f t="shared" si="6"/>
        <v>-230563.94</v>
      </c>
      <c r="J49" s="114"/>
      <c r="K49" s="196">
        <f>G49</f>
        <v>230563.94</v>
      </c>
      <c r="L49" s="222">
        <v>1010102000</v>
      </c>
      <c r="M49" s="191" t="s">
        <v>64</v>
      </c>
      <c r="N49" s="114"/>
      <c r="O49" s="114">
        <f t="shared" si="3"/>
        <v>-230563.94</v>
      </c>
      <c r="P49" s="114">
        <f>O49*-1</f>
        <v>230563.94</v>
      </c>
      <c r="Q49" s="114"/>
      <c r="R49" s="114"/>
      <c r="S49" s="114"/>
      <c r="T49" s="105"/>
      <c r="U49" s="105"/>
      <c r="V49" s="105"/>
    </row>
    <row r="50" spans="1:22" ht="47.25" x14ac:dyDescent="0.25">
      <c r="A50" s="112"/>
      <c r="B50" s="265">
        <v>5021306001</v>
      </c>
      <c r="C50" s="124" t="s">
        <v>49</v>
      </c>
      <c r="D50" s="239">
        <f>IFERROR(VLOOKUP(B50,'WORKING PAPER FC1'!$I$19:$J$31,2,FALSE),0)</f>
        <v>0</v>
      </c>
      <c r="E50" s="124"/>
      <c r="F50" s="239">
        <f>IFERROR(VLOOKUP(B50,'WORKING PAPER FC1'!$I$11:$J$12,2,FALSE),0)</f>
        <v>0</v>
      </c>
      <c r="G50" s="114">
        <f>-'[7]JANUARY 2023'!$EL$601-'[8]FEBRUARY 2023 SORT REV'!$EL$746-48000-68780-75000+0.01</f>
        <v>-195971.49</v>
      </c>
      <c r="H50" s="124" t="s">
        <v>49</v>
      </c>
      <c r="I50" s="114">
        <f t="shared" si="6"/>
        <v>195971.49</v>
      </c>
      <c r="J50" s="114"/>
      <c r="K50" s="196">
        <f t="shared" si="5"/>
        <v>-195971.49</v>
      </c>
      <c r="L50" s="222">
        <v>1010102000</v>
      </c>
      <c r="M50" s="191" t="s">
        <v>64</v>
      </c>
      <c r="N50" s="114"/>
      <c r="O50" s="114">
        <f t="shared" si="3"/>
        <v>195971.49</v>
      </c>
      <c r="P50" s="114">
        <f>O50*-1</f>
        <v>-195971.49</v>
      </c>
      <c r="Q50" s="114"/>
      <c r="R50" s="114"/>
      <c r="S50" s="114"/>
      <c r="T50" s="105"/>
      <c r="U50" s="105"/>
      <c r="V50" s="105"/>
    </row>
    <row r="51" spans="1:22" ht="31.5" x14ac:dyDescent="0.25">
      <c r="A51" s="112"/>
      <c r="B51" s="265">
        <v>5029999099</v>
      </c>
      <c r="C51" s="124" t="s">
        <v>51</v>
      </c>
      <c r="D51" s="239">
        <f>IFERROR(VLOOKUP(B51,'WORKING PAPER FC1'!$I$19:$J$31,2,FALSE),0)</f>
        <v>0</v>
      </c>
      <c r="E51" s="124"/>
      <c r="F51" s="239">
        <f>IFERROR(VLOOKUP(B51,'WORKING PAPER FC1'!$I$11:$J$12,2,FALSE),0)</f>
        <v>0</v>
      </c>
      <c r="G51" s="114">
        <f>-'[7]JANUARY 2023'!$EL$228-'[7]JANUARY 2023'!$EL$592-'[7]JANUARY 2023'!$EL$602-'[7]JANUARY 2023'!$EL$606-'[8]FEBRUARY 2023 SORT REV'!$EL$748-'[8]FEBRUARY 2023 SORT REV'!$EL$768-7031.25-169142-41000-11165.55-18019+200</f>
        <v>-318624.15999999997</v>
      </c>
      <c r="H51" s="124" t="s">
        <v>51</v>
      </c>
      <c r="I51" s="114">
        <f t="shared" si="6"/>
        <v>318624.15999999997</v>
      </c>
      <c r="J51" s="114"/>
      <c r="K51" s="196">
        <f t="shared" si="5"/>
        <v>-318624.15999999997</v>
      </c>
      <c r="L51" s="222">
        <v>1010102000</v>
      </c>
      <c r="M51" s="191" t="s">
        <v>64</v>
      </c>
      <c r="N51" s="114"/>
      <c r="O51" s="114">
        <f t="shared" si="3"/>
        <v>318624.15999999997</v>
      </c>
      <c r="P51" s="114">
        <f>O51*-1</f>
        <v>-318624.15999999997</v>
      </c>
      <c r="Q51" s="114"/>
      <c r="R51" s="114"/>
      <c r="S51" s="114"/>
      <c r="T51" s="105"/>
      <c r="U51" s="105"/>
      <c r="V51" s="105"/>
    </row>
    <row r="52" spans="1:22" x14ac:dyDescent="0.25">
      <c r="A52" s="112"/>
      <c r="B52" s="265">
        <v>5020301001</v>
      </c>
      <c r="C52" s="124" t="s">
        <v>192</v>
      </c>
      <c r="D52" s="239">
        <f>IFERROR(VLOOKUP(B52,'WORKING PAPER FC1'!$I$19:$J$31,2,FALSE),0)</f>
        <v>0</v>
      </c>
      <c r="E52" s="124"/>
      <c r="F52" s="239">
        <f>IFERROR(VLOOKUP(B52,'WORKING PAPER FC1'!$I$11:$J$12,2,FALSE),0)</f>
        <v>0</v>
      </c>
      <c r="G52" s="114">
        <f>-'[8]FEBRUARY 2023 SORT REV'!$EL$747</f>
        <v>-850</v>
      </c>
      <c r="H52" s="124" t="s">
        <v>192</v>
      </c>
      <c r="I52" s="114">
        <f t="shared" si="6"/>
        <v>850</v>
      </c>
      <c r="J52" s="114"/>
      <c r="K52" s="196">
        <f t="shared" si="5"/>
        <v>-850</v>
      </c>
      <c r="L52" s="222">
        <v>1010102000</v>
      </c>
      <c r="M52" s="191" t="s">
        <v>64</v>
      </c>
      <c r="N52" s="114"/>
      <c r="O52" s="114">
        <f t="shared" si="3"/>
        <v>850</v>
      </c>
      <c r="P52" s="114">
        <f>-O52</f>
        <v>-850</v>
      </c>
      <c r="Q52" s="114"/>
      <c r="R52" s="114"/>
      <c r="S52" s="114"/>
      <c r="T52" s="105"/>
      <c r="U52" s="105"/>
      <c r="V52" s="105"/>
    </row>
    <row r="53" spans="1:22" ht="47.25" x14ac:dyDescent="0.25">
      <c r="A53" s="112"/>
      <c r="B53" s="265">
        <v>5020321002</v>
      </c>
      <c r="C53" s="124" t="s">
        <v>203</v>
      </c>
      <c r="D53" s="239">
        <f>IFERROR(VLOOKUP(B53,'WORKING PAPER FC1'!$I$19:$J$31,2,FALSE),0)</f>
        <v>0</v>
      </c>
      <c r="E53" s="124"/>
      <c r="F53" s="239">
        <f>IFERROR(VLOOKUP(B53,'WORKING PAPER FC1'!$I$11:$J$12,2,FALSE),0)</f>
        <v>0</v>
      </c>
      <c r="G53" s="114">
        <f>-'[6]ADAdj-APRGOP'!$O$1021-1995-745224-14150-447191+D53+206723</f>
        <v>-1122826</v>
      </c>
      <c r="H53" s="124" t="s">
        <v>203</v>
      </c>
      <c r="I53" s="114">
        <f t="shared" si="6"/>
        <v>1122826</v>
      </c>
      <c r="J53" s="114"/>
      <c r="K53" s="196">
        <f>G53</f>
        <v>-1122826</v>
      </c>
      <c r="L53" s="222">
        <v>1040502000</v>
      </c>
      <c r="M53" s="114" t="s">
        <v>44</v>
      </c>
      <c r="N53" s="114"/>
      <c r="O53" s="114">
        <f t="shared" si="3"/>
        <v>1122826</v>
      </c>
      <c r="P53" s="114">
        <f>-O53</f>
        <v>-1122826</v>
      </c>
      <c r="Q53" s="114"/>
      <c r="R53" s="114"/>
      <c r="S53" s="114"/>
      <c r="T53" s="105"/>
      <c r="U53" s="105"/>
      <c r="V53" s="105"/>
    </row>
    <row r="54" spans="1:22" ht="47.25" x14ac:dyDescent="0.25">
      <c r="A54" s="112"/>
      <c r="B54" s="265">
        <v>5020321002</v>
      </c>
      <c r="C54" s="124" t="s">
        <v>203</v>
      </c>
      <c r="D54" s="239"/>
      <c r="E54" s="124"/>
      <c r="F54" s="239"/>
      <c r="G54" s="114">
        <v>-206723</v>
      </c>
      <c r="H54" s="124" t="s">
        <v>203</v>
      </c>
      <c r="I54" s="114">
        <f t="shared" si="6"/>
        <v>206723</v>
      </c>
      <c r="J54" s="114"/>
      <c r="K54" s="196">
        <f>G54</f>
        <v>-206723</v>
      </c>
      <c r="L54" s="222">
        <v>2010101000</v>
      </c>
      <c r="M54" s="114" t="s">
        <v>25</v>
      </c>
      <c r="N54" s="114"/>
      <c r="O54" s="114">
        <f t="shared" si="3"/>
        <v>206723</v>
      </c>
      <c r="P54" s="114">
        <f>-O54</f>
        <v>-206723</v>
      </c>
      <c r="Q54" s="114"/>
      <c r="R54" s="114"/>
      <c r="S54" s="114"/>
      <c r="T54" s="105"/>
      <c r="U54" s="105"/>
      <c r="V54" s="105"/>
    </row>
    <row r="55" spans="1:22" ht="15" customHeight="1" x14ac:dyDescent="0.25">
      <c r="A55" s="112"/>
      <c r="B55" s="265">
        <v>5021199000</v>
      </c>
      <c r="C55" s="124" t="s">
        <v>47</v>
      </c>
      <c r="D55" s="239">
        <f>IFERROR(VLOOKUP(B55,'WORKING PAPER FC1'!$I$19:$J$31,2,FALSE),0)</f>
        <v>0</v>
      </c>
      <c r="E55" s="124"/>
      <c r="F55" s="239">
        <f>IFERROR(VLOOKUP(B55,'WORKING PAPER FC1'!$I$11:$J$12,2,FALSE),0)</f>
        <v>0</v>
      </c>
      <c r="G55" s="114">
        <f>-10000-'[7]JANUARY 2023'!$EL$240-'[7]JANUARY 2023'!$EL$241-'[7]JANUARY 2023'!$EL$242-'[7]JANUARY 2023'!$EL$319-'[7]JANUARY 2023'!$EL$321-'[7]JANUARY 2023'!$EL$324-'[7]JANUARY 2023'!$EL$325-'[7]JANUARY 2023'!$EL$326-'[7]JANUARY 2023'!$EL$327-'[7]JANUARY 2023'!$EL$135-'[7]JANUARY 2023'!$EL$168-'[7]JANUARY 2023'!$EL$221-'[7]JANUARY 2023'!$EL$237+'[7]JANUARY 2023'!$AU$623-'[4]ADAdj-APRGOP'!$BX$149-'[4]ADAdj-APRGOP'!$BX$198-'[8]FEBRUARY 2023 SORT REV'!$EL$5-'[8]FEBRUARY 2023 SORT REV'!$EL$96-'[8]FEBRUARY 2023 SORT REV'!$EL$97-'[8]FEBRUARY 2023 SORT REV'!$EL$139-'[8]FEBRUARY 2023 SORT REV'!$EL$140-'[8]FEBRUARY 2023 SORT REV'!$EL$141-'[8]FEBRUARY 2023 SORT REV'!$EL$142-'[8]FEBRUARY 2023 SORT REV'!$EL$146-'[8]FEBRUARY 2023 SORT REV'!$EL$159-'[8]FEBRUARY 2023 SORT REV'!$EL$160-'[8]FEBRUARY 2023 SORT REV'!$EL$207-'[8]FEBRUARY 2023 SORT REV'!$EL$208-'[8]FEBRUARY 2023 SORT REV'!$EL$232-'[8]FEBRUARY 2023 SORT REV'!$EL$233-'[8]FEBRUARY 2023 SORT REV'!$EL$445-'[8]FEBRUARY 2023 SORT REV'!$EL$456-'[5]ADAdj-APRGOP'!$BX$21-'[5]ADAdj-APRGOP'!$BX$339-'[9]MARCH 2023 arranged per ADA'!$EM$2875+42276.82</f>
        <v>-959984.71999999986</v>
      </c>
      <c r="H55" s="113" t="s">
        <v>47</v>
      </c>
      <c r="I55" s="114">
        <f t="shared" si="6"/>
        <v>951144.11999999988</v>
      </c>
      <c r="J55" s="114">
        <f>'[7]JANUARY 2023'!$AU$623</f>
        <v>8840.6000000000022</v>
      </c>
      <c r="K55" s="196">
        <f>-I55-J55</f>
        <v>-959984.71999999986</v>
      </c>
      <c r="L55" s="222">
        <v>2010101000</v>
      </c>
      <c r="M55" s="114" t="s">
        <v>25</v>
      </c>
      <c r="N55" s="114">
        <f>J55</f>
        <v>8840.6000000000022</v>
      </c>
      <c r="O55" s="114">
        <f t="shared" si="3"/>
        <v>951144.11999999988</v>
      </c>
      <c r="P55" s="114"/>
      <c r="Q55" s="114">
        <f>O55+N55</f>
        <v>959984.71999999986</v>
      </c>
      <c r="R55" s="114"/>
      <c r="S55" s="114"/>
      <c r="T55" s="105"/>
      <c r="U55" s="105"/>
      <c r="V55" s="105"/>
    </row>
    <row r="56" spans="1:22" ht="47.25" x14ac:dyDescent="0.25">
      <c r="A56" s="112"/>
      <c r="B56" s="265">
        <v>5021304001</v>
      </c>
      <c r="C56" s="124" t="s">
        <v>48</v>
      </c>
      <c r="D56" s="239">
        <f>IFERROR(VLOOKUP(B56,'WORKING PAPER FC1'!$I$19:$J$31,2,FALSE),0)</f>
        <v>0</v>
      </c>
      <c r="E56" s="124"/>
      <c r="F56" s="239">
        <f>IFERROR(VLOOKUP(B56,'WORKING PAPER FC1'!$I$11:$J$12,2,FALSE),0)</f>
        <v>0</v>
      </c>
      <c r="G56" s="114">
        <f>-'[9]MARCH 2023 arranged per ADA'!$EM$2878</f>
        <v>-519632.75</v>
      </c>
      <c r="H56" s="124" t="s">
        <v>48</v>
      </c>
      <c r="I56" s="114">
        <f t="shared" si="6"/>
        <v>519632.75</v>
      </c>
      <c r="J56" s="114"/>
      <c r="K56" s="196">
        <f t="shared" ref="K56" si="8">G56</f>
        <v>-519632.75</v>
      </c>
      <c r="L56" s="222">
        <v>2010101000</v>
      </c>
      <c r="M56" s="114" t="s">
        <v>25</v>
      </c>
      <c r="N56" s="114"/>
      <c r="O56" s="114">
        <f t="shared" si="3"/>
        <v>519632.75</v>
      </c>
      <c r="P56" s="114"/>
      <c r="Q56" s="114">
        <f>O56</f>
        <v>519632.75</v>
      </c>
      <c r="R56" s="114"/>
      <c r="S56" s="114"/>
      <c r="T56" s="105"/>
      <c r="U56" s="105"/>
      <c r="V56" s="105"/>
    </row>
    <row r="57" spans="1:22" ht="47.25" x14ac:dyDescent="0.25">
      <c r="A57" s="112"/>
      <c r="B57" s="265">
        <v>5021306001</v>
      </c>
      <c r="C57" s="124" t="s">
        <v>49</v>
      </c>
      <c r="D57" s="239">
        <f>IFERROR(VLOOKUP(B57,'WORKING PAPER FC1'!$I$19:$J$31,2,FALSE),0)</f>
        <v>0</v>
      </c>
      <c r="E57" s="124"/>
      <c r="F57" s="239">
        <f>IFERROR(VLOOKUP(B57,'WORKING PAPER FC1'!$I$11:$J$12,2,FALSE),0)</f>
        <v>0</v>
      </c>
      <c r="G57" s="114">
        <f>-'[9]MARCH 2023 arranged per ADA'!$EM$2879-'[6]ADAdj-APRGOP'!$O$1024+'[14]CRJ FC1'!$G$132-2283.48</f>
        <v>-176111.42</v>
      </c>
      <c r="H57" s="113" t="s">
        <v>49</v>
      </c>
      <c r="I57" s="114">
        <f t="shared" si="6"/>
        <v>150417.37000000002</v>
      </c>
      <c r="J57" s="114">
        <f>'[14]CRJ FC1'!$G$132</f>
        <v>25694.05</v>
      </c>
      <c r="K57" s="196">
        <f>-I57-J57</f>
        <v>-176111.42</v>
      </c>
      <c r="L57" s="222">
        <v>2010101000</v>
      </c>
      <c r="M57" s="114" t="s">
        <v>25</v>
      </c>
      <c r="N57" s="114">
        <f>J57</f>
        <v>25694.05</v>
      </c>
      <c r="O57" s="114">
        <f t="shared" si="3"/>
        <v>150417.37000000002</v>
      </c>
      <c r="P57" s="114"/>
      <c r="Q57" s="114">
        <f>O57+N57</f>
        <v>176111.42</v>
      </c>
      <c r="R57" s="114"/>
      <c r="S57" s="114"/>
      <c r="T57" s="105"/>
      <c r="U57" s="105"/>
      <c r="V57" s="105"/>
    </row>
    <row r="58" spans="1:22" ht="31.5" x14ac:dyDescent="0.25">
      <c r="A58" s="112"/>
      <c r="B58" s="265">
        <v>5020309000</v>
      </c>
      <c r="C58" s="124" t="s">
        <v>37</v>
      </c>
      <c r="D58" s="239">
        <f>IFERROR(VLOOKUP(B58,'WORKING PAPER FC1'!$I$19:$J$31,2,FALSE),0)</f>
        <v>0</v>
      </c>
      <c r="E58" s="124"/>
      <c r="F58" s="239">
        <f>IFERROR(VLOOKUP(B58,'WORKING PAPER FC1'!$I$11:$J$12,2,FALSE),0)</f>
        <v>0</v>
      </c>
      <c r="G58" s="114">
        <f>-'[9]MARCH 2023 arranged per ADA'!$EM$2870-32509.69</f>
        <v>-218527.07</v>
      </c>
      <c r="H58" s="124" t="s">
        <v>37</v>
      </c>
      <c r="I58" s="114">
        <f t="shared" si="6"/>
        <v>218527.07</v>
      </c>
      <c r="J58" s="114"/>
      <c r="K58" s="196">
        <f t="shared" ref="K58:K80" si="9">G58</f>
        <v>-218527.07</v>
      </c>
      <c r="L58" s="222">
        <v>2010101000</v>
      </c>
      <c r="M58" s="114" t="s">
        <v>25</v>
      </c>
      <c r="N58" s="114"/>
      <c r="O58" s="114">
        <f t="shared" si="3"/>
        <v>218527.07</v>
      </c>
      <c r="P58" s="114"/>
      <c r="Q58" s="114">
        <f>O58-N58</f>
        <v>218527.07</v>
      </c>
      <c r="R58" s="114"/>
      <c r="S58" s="114"/>
      <c r="T58" s="105"/>
      <c r="U58" s="105"/>
      <c r="V58" s="105"/>
    </row>
    <row r="59" spans="1:22" ht="47.25" x14ac:dyDescent="0.25">
      <c r="A59" s="112"/>
      <c r="B59" s="265">
        <v>5020321003</v>
      </c>
      <c r="C59" s="124" t="s">
        <v>45</v>
      </c>
      <c r="D59" s="239">
        <f>IFERROR(VLOOKUP(B59,'WORKING PAPER FC1'!$I$19:$J$31,2,FALSE),0)</f>
        <v>0</v>
      </c>
      <c r="E59" s="124"/>
      <c r="F59" s="239">
        <f>IFERROR(VLOOKUP(B59,'WORKING PAPER FC1'!$I$11:$J$12,2,FALSE),0)</f>
        <v>0</v>
      </c>
      <c r="G59" s="114">
        <f>-'[9]MARCH 2023 arranged per ADA'!$EM$2871-37595-610703.71-3890-1658721.82+D59+'WORKING PAPER FC1'!T20+'WORKING PAPER FC1'!Z13</f>
        <v>-2336506.5300000003</v>
      </c>
      <c r="H59" s="124" t="s">
        <v>45</v>
      </c>
      <c r="I59" s="114">
        <f t="shared" si="6"/>
        <v>2336506.5300000003</v>
      </c>
      <c r="J59" s="114"/>
      <c r="K59" s="196">
        <f t="shared" si="9"/>
        <v>-2336506.5300000003</v>
      </c>
      <c r="L59" s="222">
        <v>1040503000</v>
      </c>
      <c r="M59" s="125" t="s">
        <v>71</v>
      </c>
      <c r="N59" s="114"/>
      <c r="O59" s="114">
        <f t="shared" si="3"/>
        <v>2336506.5300000003</v>
      </c>
      <c r="P59" s="114">
        <f>-O59</f>
        <v>-2336506.5300000003</v>
      </c>
      <c r="Q59" s="114"/>
      <c r="R59" s="114"/>
      <c r="S59" s="114"/>
      <c r="T59" s="105"/>
      <c r="U59" s="105"/>
      <c r="V59" s="105"/>
    </row>
    <row r="60" spans="1:22" ht="47.25" x14ac:dyDescent="0.25">
      <c r="A60" s="112"/>
      <c r="B60" s="265">
        <v>5020308000</v>
      </c>
      <c r="C60" s="124" t="s">
        <v>213</v>
      </c>
      <c r="D60" s="239">
        <f>IFERROR(VLOOKUP(B60,'WORKING PAPER FC1'!$I$19:$J$31,2,FALSE),0)</f>
        <v>0</v>
      </c>
      <c r="E60" s="124"/>
      <c r="F60" s="239">
        <f>IFERROR(VLOOKUP(B60,'WORKING PAPER FC1'!$I$11:$J$12,2,FALSE),0)</f>
        <v>0</v>
      </c>
      <c r="G60" s="109">
        <v>-276425.43</v>
      </c>
      <c r="H60" s="124" t="s">
        <v>45</v>
      </c>
      <c r="I60" s="114">
        <f t="shared" si="6"/>
        <v>276425.43</v>
      </c>
      <c r="J60" s="114"/>
      <c r="K60" s="196">
        <f t="shared" si="9"/>
        <v>-276425.43</v>
      </c>
      <c r="L60" s="222">
        <v>2010101000</v>
      </c>
      <c r="M60" s="114" t="s">
        <v>25</v>
      </c>
      <c r="N60" s="114"/>
      <c r="O60" s="114">
        <f t="shared" si="3"/>
        <v>276425.43</v>
      </c>
      <c r="P60" s="114"/>
      <c r="Q60" s="114">
        <f>O60-N60</f>
        <v>276425.43</v>
      </c>
      <c r="R60" s="114"/>
      <c r="S60" s="114"/>
      <c r="T60" s="105"/>
      <c r="U60" s="105"/>
      <c r="V60" s="105"/>
    </row>
    <row r="61" spans="1:22" ht="31.5" x14ac:dyDescent="0.25">
      <c r="A61" s="112"/>
      <c r="B61" s="265">
        <v>5029999099</v>
      </c>
      <c r="C61" s="124" t="s">
        <v>51</v>
      </c>
      <c r="D61" s="239">
        <f>IFERROR(VLOOKUP(B61,'WORKING PAPER FC1'!$I$19:$J$31,2,FALSE),0)</f>
        <v>0</v>
      </c>
      <c r="E61" s="124"/>
      <c r="F61" s="239">
        <f>IFERROR(VLOOKUP(B61,'WORKING PAPER FC1'!$I$11:$J$12,2,FALSE),0)</f>
        <v>0</v>
      </c>
      <c r="G61" s="114">
        <f>-118866.16-'[9]MARCH 2023 arranged per ADA'!$EM$2881-'[9]MARCH 2023 arranged per ADA'!$EM$2883-'[6]ADAdj-APRGOP'!$O$1025-'[6]ADAdj-APRGOP'!$O$1027-7150-60000</f>
        <v>-1166990.3400000001</v>
      </c>
      <c r="H61" s="113" t="s">
        <v>51</v>
      </c>
      <c r="I61" s="114">
        <f t="shared" si="6"/>
        <v>1166990.3400000001</v>
      </c>
      <c r="J61" s="114"/>
      <c r="K61" s="196">
        <f t="shared" si="9"/>
        <v>-1166990.3400000001</v>
      </c>
      <c r="L61" s="222">
        <v>2010101000</v>
      </c>
      <c r="M61" s="114" t="s">
        <v>25</v>
      </c>
      <c r="N61" s="114"/>
      <c r="O61" s="114">
        <f t="shared" si="3"/>
        <v>1166990.3400000001</v>
      </c>
      <c r="P61" s="114"/>
      <c r="Q61" s="114">
        <f>O61</f>
        <v>1166990.3400000001</v>
      </c>
      <c r="R61" s="114"/>
      <c r="S61" s="114"/>
      <c r="T61" s="105"/>
      <c r="U61" s="105"/>
      <c r="V61" s="105"/>
    </row>
    <row r="62" spans="1:22" x14ac:dyDescent="0.25">
      <c r="A62" s="112"/>
      <c r="B62" s="265">
        <v>5029901000</v>
      </c>
      <c r="C62" s="124" t="s">
        <v>127</v>
      </c>
      <c r="D62" s="239">
        <f>IFERROR(VLOOKUP(B62,'WORKING PAPER FC1'!$I$19:$J$31,2,FALSE),0)</f>
        <v>0</v>
      </c>
      <c r="E62" s="124"/>
      <c r="F62" s="239">
        <f>IFERROR(VLOOKUP(B62,'WORKING PAPER FC1'!$I$11:$J$12,2,FALSE),0)</f>
        <v>0</v>
      </c>
      <c r="G62" s="114">
        <f>-50000-221000-239000-74850</f>
        <v>-584850</v>
      </c>
      <c r="H62" s="124" t="s">
        <v>127</v>
      </c>
      <c r="I62" s="114">
        <f t="shared" si="6"/>
        <v>584850</v>
      </c>
      <c r="J62" s="114"/>
      <c r="K62" s="196">
        <f t="shared" si="9"/>
        <v>-584850</v>
      </c>
      <c r="L62" s="222">
        <v>2010101000</v>
      </c>
      <c r="M62" s="114" t="s">
        <v>25</v>
      </c>
      <c r="N62" s="114"/>
      <c r="O62" s="114">
        <f t="shared" si="3"/>
        <v>584850</v>
      </c>
      <c r="P62" s="114"/>
      <c r="Q62" s="114">
        <f>O62</f>
        <v>584850</v>
      </c>
      <c r="R62" s="114"/>
      <c r="S62" s="114"/>
      <c r="T62" s="105"/>
      <c r="U62" s="105"/>
      <c r="V62" s="105"/>
    </row>
    <row r="63" spans="1:22" x14ac:dyDescent="0.25">
      <c r="A63" s="112"/>
      <c r="B63" s="265">
        <v>5020306000</v>
      </c>
      <c r="C63" s="124" t="s">
        <v>209</v>
      </c>
      <c r="D63" s="239"/>
      <c r="E63" s="124"/>
      <c r="F63" s="239">
        <f>IFERROR(VLOOKUP(B63,'WORKING PAPER FC1'!$I$11:$J$12,2,FALSE),0)</f>
        <v>0</v>
      </c>
      <c r="G63" s="114">
        <f>-580752.5</f>
        <v>-580752.5</v>
      </c>
      <c r="H63" s="124" t="s">
        <v>209</v>
      </c>
      <c r="I63" s="114">
        <f t="shared" si="6"/>
        <v>580752.5</v>
      </c>
      <c r="J63" s="114"/>
      <c r="K63" s="196">
        <f t="shared" si="9"/>
        <v>-580752.5</v>
      </c>
      <c r="L63" s="222">
        <v>2010101000</v>
      </c>
      <c r="M63" s="114" t="s">
        <v>25</v>
      </c>
      <c r="N63" s="114"/>
      <c r="O63" s="114">
        <f t="shared" si="3"/>
        <v>580752.5</v>
      </c>
      <c r="P63" s="114"/>
      <c r="Q63" s="114">
        <f>O63</f>
        <v>580752.5</v>
      </c>
      <c r="R63" s="114"/>
      <c r="S63" s="114"/>
      <c r="T63" s="105"/>
      <c r="U63" s="231" t="s">
        <v>210</v>
      </c>
      <c r="V63" s="105"/>
    </row>
    <row r="64" spans="1:22" x14ac:dyDescent="0.25">
      <c r="A64" s="112"/>
      <c r="B64" s="265">
        <v>5020503000</v>
      </c>
      <c r="C64" s="124" t="s">
        <v>41</v>
      </c>
      <c r="D64" s="239">
        <f>IFERROR(VLOOKUP(B64,'WORKING PAPER FC1'!$I$19:$J$31,2,FALSE),0)</f>
        <v>0</v>
      </c>
      <c r="E64" s="124"/>
      <c r="F64" s="239">
        <f>IFERROR(VLOOKUP(B64,'WORKING PAPER FC1'!$I$11:$J$12,2,FALSE),0)</f>
        <v>0</v>
      </c>
      <c r="G64" s="114">
        <f>-12907.78</f>
        <v>-12907.78</v>
      </c>
      <c r="H64" s="124" t="s">
        <v>41</v>
      </c>
      <c r="I64" s="114">
        <f t="shared" si="6"/>
        <v>12907.78</v>
      </c>
      <c r="J64" s="114"/>
      <c r="K64" s="196">
        <f t="shared" si="9"/>
        <v>-12907.78</v>
      </c>
      <c r="L64" s="222">
        <v>2010101000</v>
      </c>
      <c r="M64" s="114" t="s">
        <v>25</v>
      </c>
      <c r="N64" s="114"/>
      <c r="O64" s="114">
        <f t="shared" si="3"/>
        <v>12907.78</v>
      </c>
      <c r="P64" s="114"/>
      <c r="Q64" s="114">
        <f>O64</f>
        <v>12907.78</v>
      </c>
      <c r="R64" s="114"/>
      <c r="S64" s="114"/>
      <c r="T64" s="105"/>
      <c r="U64" s="231"/>
      <c r="V64" s="105"/>
    </row>
    <row r="65" spans="1:22" ht="31.5" x14ac:dyDescent="0.25">
      <c r="A65" s="112"/>
      <c r="B65" s="265">
        <v>5029905003</v>
      </c>
      <c r="C65" s="124" t="s">
        <v>211</v>
      </c>
      <c r="D65" s="239">
        <f>IFERROR(VLOOKUP(B65,'WORKING PAPER FC1'!$I$19:$J$31,2,FALSE),0)</f>
        <v>0</v>
      </c>
      <c r="E65" s="124"/>
      <c r="F65" s="239">
        <f>IFERROR(VLOOKUP(B65,'WORKING PAPER FC1'!$I$11:$J$12,2,FALSE),0)</f>
        <v>0</v>
      </c>
      <c r="G65" s="114">
        <f>-1037350</f>
        <v>-1037350</v>
      </c>
      <c r="H65" s="124" t="s">
        <v>211</v>
      </c>
      <c r="I65" s="114">
        <f t="shared" si="6"/>
        <v>1037350</v>
      </c>
      <c r="J65" s="114"/>
      <c r="K65" s="196">
        <f t="shared" si="9"/>
        <v>-1037350</v>
      </c>
      <c r="L65" s="222">
        <v>2010101000</v>
      </c>
      <c r="M65" s="114" t="s">
        <v>25</v>
      </c>
      <c r="N65" s="114"/>
      <c r="O65" s="114">
        <f t="shared" si="3"/>
        <v>1037350</v>
      </c>
      <c r="P65" s="114"/>
      <c r="Q65" s="114">
        <f>O65</f>
        <v>1037350</v>
      </c>
      <c r="R65" s="114"/>
      <c r="S65" s="114"/>
      <c r="T65" s="105"/>
      <c r="U65" s="231"/>
      <c r="V65" s="105"/>
    </row>
    <row r="66" spans="1:22" ht="31.5" x14ac:dyDescent="0.25">
      <c r="A66" s="112"/>
      <c r="B66" s="265">
        <v>5020322001</v>
      </c>
      <c r="C66" s="124" t="s">
        <v>215</v>
      </c>
      <c r="D66" s="239">
        <f>IFERROR(VLOOKUP(B66,'WORKING PAPER FC1'!$I$19:$J$31,2,FALSE),0)</f>
        <v>0</v>
      </c>
      <c r="E66" s="124"/>
      <c r="F66" s="239">
        <f>IFERROR(VLOOKUP(B66,'WORKING PAPER FC1'!$I$11:$J$12,2,FALSE),0)</f>
        <v>0</v>
      </c>
      <c r="G66" s="114">
        <f>-22300-39500-831327+D66+376332.5</f>
        <v>-516794.5</v>
      </c>
      <c r="H66" s="124" t="s">
        <v>215</v>
      </c>
      <c r="I66" s="114">
        <f t="shared" si="6"/>
        <v>516794.5</v>
      </c>
      <c r="J66" s="114"/>
      <c r="K66" s="196">
        <f t="shared" si="9"/>
        <v>-516794.5</v>
      </c>
      <c r="L66" s="222">
        <v>1040601000</v>
      </c>
      <c r="M66" s="114" t="s">
        <v>216</v>
      </c>
      <c r="N66" s="114"/>
      <c r="O66" s="114">
        <f t="shared" si="3"/>
        <v>516794.5</v>
      </c>
      <c r="P66" s="114">
        <f t="shared" ref="P66:P71" si="10">-O66</f>
        <v>-516794.5</v>
      </c>
      <c r="Q66" s="114"/>
      <c r="R66" s="114"/>
      <c r="S66" s="114"/>
      <c r="T66" s="105"/>
      <c r="U66" s="231"/>
      <c r="V66" s="105"/>
    </row>
    <row r="67" spans="1:22" ht="31.5" x14ac:dyDescent="0.25">
      <c r="A67" s="112"/>
      <c r="B67" s="265">
        <v>5020322001</v>
      </c>
      <c r="C67" s="124" t="s">
        <v>215</v>
      </c>
      <c r="D67" s="239"/>
      <c r="E67" s="124"/>
      <c r="F67" s="239"/>
      <c r="G67" s="114">
        <v>-376332.5</v>
      </c>
      <c r="H67" s="124" t="s">
        <v>215</v>
      </c>
      <c r="I67" s="114">
        <f t="shared" si="6"/>
        <v>376332.5</v>
      </c>
      <c r="J67" s="114"/>
      <c r="K67" s="196">
        <f t="shared" si="9"/>
        <v>-376332.5</v>
      </c>
      <c r="L67" s="222">
        <v>2010101000</v>
      </c>
      <c r="M67" s="114" t="s">
        <v>25</v>
      </c>
      <c r="N67" s="114"/>
      <c r="O67" s="114">
        <f t="shared" si="3"/>
        <v>376332.5</v>
      </c>
      <c r="P67" s="114">
        <f t="shared" si="10"/>
        <v>-376332.5</v>
      </c>
      <c r="Q67" s="114"/>
      <c r="R67" s="114"/>
      <c r="S67" s="114"/>
      <c r="T67" s="105"/>
      <c r="U67" s="231"/>
      <c r="V67" s="105"/>
    </row>
    <row r="68" spans="1:22" ht="47.25" x14ac:dyDescent="0.25">
      <c r="A68" s="112"/>
      <c r="B68" s="265">
        <v>5020321099</v>
      </c>
      <c r="C68" s="124" t="s">
        <v>217</v>
      </c>
      <c r="D68" s="239">
        <f>IFERROR(VLOOKUP(B68,'WORKING PAPER FC1'!$I$19:$J$31,2,FALSE),0)</f>
        <v>0</v>
      </c>
      <c r="E68" s="124"/>
      <c r="F68" s="239">
        <f>IFERROR(VLOOKUP(B68,'WORKING PAPER FC1'!$I$11:$J$12,2,FALSE),0)</f>
        <v>0</v>
      </c>
      <c r="G68" s="114">
        <f>-1258.75+D68+252386</f>
        <v>251127.25</v>
      </c>
      <c r="H68" s="124" t="s">
        <v>217</v>
      </c>
      <c r="I68" s="114">
        <f t="shared" si="6"/>
        <v>-251127.25</v>
      </c>
      <c r="J68" s="114"/>
      <c r="K68" s="196">
        <f t="shared" si="9"/>
        <v>251127.25</v>
      </c>
      <c r="L68" s="222">
        <v>1040599000</v>
      </c>
      <c r="M68" s="125" t="s">
        <v>218</v>
      </c>
      <c r="N68" s="114"/>
      <c r="O68" s="114">
        <f t="shared" si="3"/>
        <v>-251127.25</v>
      </c>
      <c r="P68" s="114">
        <f t="shared" si="10"/>
        <v>251127.25</v>
      </c>
      <c r="Q68" s="114"/>
      <c r="R68" s="114"/>
      <c r="S68" s="114"/>
      <c r="T68" s="105"/>
      <c r="U68" s="231"/>
      <c r="V68" s="105"/>
    </row>
    <row r="69" spans="1:22" ht="47.25" x14ac:dyDescent="0.25">
      <c r="A69" s="112"/>
      <c r="B69" s="265">
        <v>5020321099</v>
      </c>
      <c r="C69" s="124" t="s">
        <v>217</v>
      </c>
      <c r="D69" s="239"/>
      <c r="E69" s="124"/>
      <c r="F69" s="239"/>
      <c r="G69" s="114">
        <f>-252386</f>
        <v>-252386</v>
      </c>
      <c r="H69" s="124" t="s">
        <v>217</v>
      </c>
      <c r="I69" s="114">
        <f t="shared" si="6"/>
        <v>252386</v>
      </c>
      <c r="J69" s="114"/>
      <c r="K69" s="196">
        <f t="shared" si="9"/>
        <v>-252386</v>
      </c>
      <c r="L69" s="222">
        <v>2010101000</v>
      </c>
      <c r="M69" s="114" t="s">
        <v>25</v>
      </c>
      <c r="N69" s="114"/>
      <c r="O69" s="114">
        <f t="shared" si="3"/>
        <v>252386</v>
      </c>
      <c r="P69" s="114">
        <f t="shared" si="10"/>
        <v>-252386</v>
      </c>
      <c r="Q69" s="114"/>
      <c r="R69" s="114"/>
      <c r="S69" s="114"/>
      <c r="T69" s="105"/>
      <c r="U69" s="231"/>
      <c r="V69" s="105"/>
    </row>
    <row r="70" spans="1:22" ht="31.5" x14ac:dyDescent="0.25">
      <c r="A70" s="112"/>
      <c r="B70" s="265">
        <v>5020308000</v>
      </c>
      <c r="C70" s="124" t="s">
        <v>213</v>
      </c>
      <c r="D70" s="239">
        <f>IFERROR(VLOOKUP(B70,'WORKING PAPER FC1'!$I$19:$J$31,2,FALSE),0)</f>
        <v>0</v>
      </c>
      <c r="E70" s="124"/>
      <c r="F70" s="239">
        <f>IFERROR(VLOOKUP(B70,'WORKING PAPER FC1'!$I$11:$J$12,2,FALSE),0)</f>
        <v>0</v>
      </c>
      <c r="G70" s="114">
        <f>+-174874.57-4450</f>
        <v>-179324.57</v>
      </c>
      <c r="H70" s="124" t="s">
        <v>213</v>
      </c>
      <c r="I70" s="114">
        <f t="shared" si="6"/>
        <v>179324.57</v>
      </c>
      <c r="J70" s="114"/>
      <c r="K70" s="196">
        <f t="shared" si="9"/>
        <v>-179324.57</v>
      </c>
      <c r="L70" s="222">
        <v>1040407000</v>
      </c>
      <c r="M70" s="125" t="s">
        <v>214</v>
      </c>
      <c r="N70" s="114"/>
      <c r="O70" s="114">
        <f t="shared" si="3"/>
        <v>179324.57</v>
      </c>
      <c r="P70" s="114">
        <f t="shared" si="10"/>
        <v>-179324.57</v>
      </c>
      <c r="Q70" s="114"/>
      <c r="R70" s="114"/>
      <c r="S70" s="114"/>
      <c r="T70" s="105"/>
      <c r="U70" s="231"/>
      <c r="V70" s="105"/>
    </row>
    <row r="71" spans="1:22" ht="47.25" x14ac:dyDescent="0.25">
      <c r="A71" s="112"/>
      <c r="B71" s="265">
        <v>5020321007</v>
      </c>
      <c r="C71" s="124" t="s">
        <v>219</v>
      </c>
      <c r="D71" s="239">
        <f>IFERROR(VLOOKUP(B71,'WORKING PAPER FC1'!$I$19:$J$31,2,FALSE),0)</f>
        <v>0</v>
      </c>
      <c r="E71" s="124"/>
      <c r="F71" s="239">
        <f>IFERROR(VLOOKUP(B71,'WORKING PAPER FC1'!$I$11:$J$12,2,FALSE),0)</f>
        <v>0</v>
      </c>
      <c r="G71" s="114">
        <f>-2980-84990+D71</f>
        <v>-87970</v>
      </c>
      <c r="H71" s="124" t="s">
        <v>219</v>
      </c>
      <c r="I71" s="114">
        <f t="shared" si="6"/>
        <v>87970</v>
      </c>
      <c r="J71" s="114"/>
      <c r="K71" s="196">
        <f t="shared" si="9"/>
        <v>-87970</v>
      </c>
      <c r="L71" s="222">
        <v>1040507000</v>
      </c>
      <c r="M71" s="125" t="s">
        <v>220</v>
      </c>
      <c r="N71" s="114"/>
      <c r="O71" s="114">
        <f t="shared" si="3"/>
        <v>87970</v>
      </c>
      <c r="P71" s="114">
        <f t="shared" si="10"/>
        <v>-87970</v>
      </c>
      <c r="Q71" s="114"/>
      <c r="R71" s="114"/>
      <c r="S71" s="114"/>
      <c r="T71" s="105"/>
      <c r="U71" s="231"/>
      <c r="V71" s="105"/>
    </row>
    <row r="72" spans="1:22" ht="31.5" x14ac:dyDescent="0.25">
      <c r="A72" s="112"/>
      <c r="B72" s="265">
        <v>5029905001</v>
      </c>
      <c r="C72" s="124" t="s">
        <v>221</v>
      </c>
      <c r="D72" s="239">
        <f>IFERROR(VLOOKUP(B72,'WORKING PAPER FC1'!$I$19:$J$31,2,FALSE),0)</f>
        <v>0</v>
      </c>
      <c r="E72" s="124"/>
      <c r="F72" s="239">
        <f>IFERROR(VLOOKUP(B72,'WORKING PAPER FC1'!$I$11:$J$12,2,FALSE),0)</f>
        <v>0</v>
      </c>
      <c r="G72" s="114">
        <f>-296000</f>
        <v>-296000</v>
      </c>
      <c r="H72" s="124" t="s">
        <v>221</v>
      </c>
      <c r="I72" s="114">
        <f t="shared" si="6"/>
        <v>296000</v>
      </c>
      <c r="J72" s="114"/>
      <c r="K72" s="196">
        <f t="shared" si="9"/>
        <v>-296000</v>
      </c>
      <c r="L72" s="222">
        <v>2010101000</v>
      </c>
      <c r="M72" s="114" t="s">
        <v>25</v>
      </c>
      <c r="N72" s="114"/>
      <c r="O72" s="114">
        <f t="shared" si="3"/>
        <v>296000</v>
      </c>
      <c r="P72" s="114"/>
      <c r="Q72" s="114">
        <f>O72-N72</f>
        <v>296000</v>
      </c>
      <c r="R72" s="114"/>
      <c r="S72" s="114"/>
      <c r="T72" s="105"/>
      <c r="U72" s="231"/>
      <c r="V72" s="105"/>
    </row>
    <row r="73" spans="1:22" ht="31.5" x14ac:dyDescent="0.25">
      <c r="A73" s="112"/>
      <c r="B73" s="265">
        <v>5029902000</v>
      </c>
      <c r="C73" s="124" t="s">
        <v>52</v>
      </c>
      <c r="D73" s="239">
        <f>IFERROR(VLOOKUP(B73,'WORKING PAPER FC1'!$I$19:$J$31,2,FALSE),0)</f>
        <v>0</v>
      </c>
      <c r="E73" s="124"/>
      <c r="F73" s="239">
        <f>IFERROR(VLOOKUP(B73,'WORKING PAPER FC1'!$I$11:$J$12,2,FALSE),0)</f>
        <v>0</v>
      </c>
      <c r="G73" s="114">
        <f>-100000-162050-31500</f>
        <v>-293550</v>
      </c>
      <c r="H73" s="124" t="s">
        <v>52</v>
      </c>
      <c r="I73" s="114">
        <f t="shared" si="6"/>
        <v>293550</v>
      </c>
      <c r="J73" s="114"/>
      <c r="K73" s="196">
        <f t="shared" si="9"/>
        <v>-293550</v>
      </c>
      <c r="L73" s="222">
        <v>2010101000</v>
      </c>
      <c r="M73" s="114" t="s">
        <v>25</v>
      </c>
      <c r="N73" s="114"/>
      <c r="O73" s="114">
        <f t="shared" si="3"/>
        <v>293550</v>
      </c>
      <c r="P73" s="114"/>
      <c r="Q73" s="114">
        <f>O73-N73</f>
        <v>293550</v>
      </c>
      <c r="R73" s="114"/>
      <c r="S73" s="114"/>
      <c r="T73" s="105"/>
      <c r="U73" s="231"/>
      <c r="V73" s="105"/>
    </row>
    <row r="74" spans="1:22" ht="47.25" x14ac:dyDescent="0.25">
      <c r="A74" s="112"/>
      <c r="B74" s="265">
        <v>5020321001</v>
      </c>
      <c r="C74" s="124" t="s">
        <v>222</v>
      </c>
      <c r="D74" s="239">
        <f>IFERROR(VLOOKUP(B74,'WORKING PAPER FC1'!$I$19:$J$31,2,FALSE),0)</f>
        <v>0</v>
      </c>
      <c r="E74" s="124"/>
      <c r="F74" s="239">
        <f>IFERROR(VLOOKUP(B74,'WORKING PAPER FC1'!$I$11:$J$12,2,FALSE),0)</f>
        <v>0</v>
      </c>
      <c r="G74" s="114">
        <f>-13846.25+D74</f>
        <v>-13846.25</v>
      </c>
      <c r="H74" s="124" t="s">
        <v>222</v>
      </c>
      <c r="I74" s="114">
        <f t="shared" si="6"/>
        <v>13846.25</v>
      </c>
      <c r="J74" s="114"/>
      <c r="K74" s="196">
        <f t="shared" si="9"/>
        <v>-13846.25</v>
      </c>
      <c r="L74" s="222">
        <v>1040501000</v>
      </c>
      <c r="M74" s="114" t="s">
        <v>223</v>
      </c>
      <c r="N74" s="114"/>
      <c r="O74" s="114">
        <f t="shared" si="3"/>
        <v>13846.25</v>
      </c>
      <c r="P74" s="114">
        <f>-O74</f>
        <v>-13846.25</v>
      </c>
      <c r="Q74" s="114"/>
      <c r="R74" s="114"/>
      <c r="S74" s="114"/>
      <c r="T74" s="105"/>
      <c r="U74" s="231"/>
      <c r="V74" s="105"/>
    </row>
    <row r="75" spans="1:22" ht="47.25" x14ac:dyDescent="0.25">
      <c r="A75" s="112"/>
      <c r="B75" s="265">
        <v>5020321010</v>
      </c>
      <c r="C75" s="124" t="s">
        <v>224</v>
      </c>
      <c r="D75" s="239">
        <f>IFERROR(VLOOKUP(B75,'WORKING PAPER FC1'!$I$19:$J$31,2,FALSE),0)</f>
        <v>0</v>
      </c>
      <c r="E75" s="124"/>
      <c r="F75" s="239">
        <f>IFERROR(VLOOKUP(B75,'WORKING PAPER FC1'!$I$11:$J$12,2,FALSE),0)</f>
        <v>0</v>
      </c>
      <c r="G75" s="114">
        <f>-36000+D75+1910</f>
        <v>-34090</v>
      </c>
      <c r="H75" s="124" t="s">
        <v>222</v>
      </c>
      <c r="I75" s="114">
        <f t="shared" si="6"/>
        <v>34090</v>
      </c>
      <c r="J75" s="114"/>
      <c r="K75" s="196">
        <f t="shared" si="9"/>
        <v>-34090</v>
      </c>
      <c r="L75" s="222">
        <v>1040510000</v>
      </c>
      <c r="M75" s="114" t="s">
        <v>225</v>
      </c>
      <c r="N75" s="114"/>
      <c r="O75" s="114">
        <f t="shared" si="3"/>
        <v>34090</v>
      </c>
      <c r="P75" s="114">
        <f>-O75</f>
        <v>-34090</v>
      </c>
      <c r="Q75" s="114"/>
      <c r="R75" s="114"/>
      <c r="S75" s="114"/>
      <c r="T75" s="105"/>
      <c r="U75" s="231"/>
      <c r="V75" s="105"/>
    </row>
    <row r="76" spans="1:22" ht="47.25" x14ac:dyDescent="0.25">
      <c r="A76" s="112"/>
      <c r="B76" s="265">
        <v>5020321010</v>
      </c>
      <c r="C76" s="124" t="s">
        <v>224</v>
      </c>
      <c r="D76" s="239"/>
      <c r="E76" s="124"/>
      <c r="F76" s="239"/>
      <c r="G76" s="114">
        <v>-1910</v>
      </c>
      <c r="H76" s="124" t="s">
        <v>222</v>
      </c>
      <c r="I76" s="114">
        <f t="shared" si="6"/>
        <v>1910</v>
      </c>
      <c r="J76" s="114"/>
      <c r="K76" s="196">
        <f t="shared" si="9"/>
        <v>-1910</v>
      </c>
      <c r="L76" s="222">
        <v>2010101000</v>
      </c>
      <c r="M76" s="114" t="s">
        <v>25</v>
      </c>
      <c r="N76" s="114"/>
      <c r="O76" s="114">
        <f t="shared" si="3"/>
        <v>1910</v>
      </c>
      <c r="P76" s="114">
        <f>-O76</f>
        <v>-1910</v>
      </c>
      <c r="Q76" s="114"/>
      <c r="R76" s="114"/>
      <c r="S76" s="114"/>
      <c r="T76" s="105"/>
      <c r="U76" s="231"/>
      <c r="V76" s="105"/>
    </row>
    <row r="77" spans="1:22" ht="31.5" x14ac:dyDescent="0.25">
      <c r="A77" s="112"/>
      <c r="B77" s="265">
        <v>5020321013</v>
      </c>
      <c r="C77" s="124" t="s">
        <v>259</v>
      </c>
      <c r="D77" s="239">
        <f>IFERROR(VLOOKUP(B77,'WORKING PAPER FC1'!$I$19:$J$31,2,FALSE),0)</f>
        <v>0</v>
      </c>
      <c r="E77" s="124"/>
      <c r="F77" s="239"/>
      <c r="G77" s="114">
        <f>+D77</f>
        <v>0</v>
      </c>
      <c r="H77" s="124" t="s">
        <v>259</v>
      </c>
      <c r="I77" s="114">
        <f t="shared" si="6"/>
        <v>0</v>
      </c>
      <c r="J77" s="114"/>
      <c r="K77" s="196">
        <f t="shared" si="9"/>
        <v>0</v>
      </c>
      <c r="L77" s="222">
        <v>1040513000</v>
      </c>
      <c r="M77" s="114" t="s">
        <v>260</v>
      </c>
      <c r="N77" s="114"/>
      <c r="O77" s="114">
        <f t="shared" si="3"/>
        <v>0</v>
      </c>
      <c r="P77" s="114">
        <f>-O77</f>
        <v>0</v>
      </c>
      <c r="Q77" s="114"/>
      <c r="R77" s="114"/>
      <c r="S77" s="114"/>
      <c r="T77" s="105"/>
      <c r="U77" s="231"/>
      <c r="V77" s="105"/>
    </row>
    <row r="78" spans="1:22" ht="31.5" x14ac:dyDescent="0.25">
      <c r="A78" s="112"/>
      <c r="B78" s="265">
        <v>5050105003</v>
      </c>
      <c r="C78" s="124" t="s">
        <v>228</v>
      </c>
      <c r="D78" s="239">
        <f>IFERROR(VLOOKUP(B78,'WORKING PAPER FC1'!$I$19:$J$31,2,FALSE),0)</f>
        <v>0</v>
      </c>
      <c r="E78" s="124"/>
      <c r="F78" s="239">
        <f>IFERROR(VLOOKUP(B78,'WORKING PAPER FC1'!$I$11:$J$12,2,FALSE),0)</f>
        <v>0</v>
      </c>
      <c r="G78" s="114">
        <f>-49685.22</f>
        <v>-49685.22</v>
      </c>
      <c r="H78" s="124" t="s">
        <v>228</v>
      </c>
      <c r="I78" s="114">
        <f t="shared" si="6"/>
        <v>49685.22</v>
      </c>
      <c r="J78" s="114"/>
      <c r="K78" s="196">
        <f t="shared" si="9"/>
        <v>-49685.22</v>
      </c>
      <c r="L78" s="222">
        <v>1060503100</v>
      </c>
      <c r="M78" s="125" t="s">
        <v>229</v>
      </c>
      <c r="N78" s="114"/>
      <c r="O78" s="114">
        <f t="shared" si="3"/>
        <v>49685.22</v>
      </c>
      <c r="P78" s="114">
        <f>-O78</f>
        <v>-49685.22</v>
      </c>
      <c r="Q78" s="114"/>
      <c r="R78" s="114"/>
      <c r="S78" s="114"/>
      <c r="T78" s="105"/>
      <c r="U78" s="231"/>
      <c r="V78" s="105"/>
    </row>
    <row r="79" spans="1:22" ht="31.5" x14ac:dyDescent="0.25">
      <c r="A79" s="112"/>
      <c r="B79" s="265">
        <v>5050108002</v>
      </c>
      <c r="C79" s="124" t="s">
        <v>261</v>
      </c>
      <c r="D79" s="239"/>
      <c r="E79" s="124"/>
      <c r="F79" s="239"/>
      <c r="G79" s="114">
        <f>'WORKING PAPER FC1'!T25</f>
        <v>-11200</v>
      </c>
      <c r="H79" s="124" t="s">
        <v>261</v>
      </c>
      <c r="I79" s="114"/>
      <c r="J79" s="114">
        <f>G79</f>
        <v>-11200</v>
      </c>
      <c r="K79" s="196">
        <f>J79*-1</f>
        <v>11200</v>
      </c>
      <c r="L79" s="222">
        <v>1060803100</v>
      </c>
      <c r="M79" s="125" t="s">
        <v>57</v>
      </c>
      <c r="N79" s="114">
        <v>49685.19</v>
      </c>
      <c r="O79" s="114"/>
      <c r="P79" s="114">
        <f>N79</f>
        <v>49685.19</v>
      </c>
      <c r="Q79" s="114"/>
      <c r="R79" s="114"/>
      <c r="S79" s="114"/>
      <c r="T79" s="105"/>
      <c r="U79" s="231"/>
      <c r="V79" s="105"/>
    </row>
    <row r="80" spans="1:22" ht="31.5" x14ac:dyDescent="0.25">
      <c r="A80" s="112"/>
      <c r="B80" s="265">
        <v>5029904000</v>
      </c>
      <c r="C80" s="124" t="s">
        <v>243</v>
      </c>
      <c r="D80" s="239">
        <f>IFERROR(VLOOKUP(B80,'WORKING PAPER FC1'!$I$19:$J$31,2,FALSE),0)</f>
        <v>0</v>
      </c>
      <c r="E80" s="124"/>
      <c r="F80" s="239">
        <f>IFERROR(VLOOKUP(B80,'WORKING PAPER FC1'!$I$11:$J$12,2,FALSE),0)</f>
        <v>0</v>
      </c>
      <c r="G80" s="114">
        <f>-950000</f>
        <v>-950000</v>
      </c>
      <c r="H80" s="124" t="s">
        <v>243</v>
      </c>
      <c r="I80" s="114">
        <f t="shared" si="6"/>
        <v>950000</v>
      </c>
      <c r="J80" s="114"/>
      <c r="K80" s="196">
        <f t="shared" si="9"/>
        <v>-950000</v>
      </c>
      <c r="L80" s="222">
        <v>2010101000</v>
      </c>
      <c r="M80" s="114" t="s">
        <v>25</v>
      </c>
      <c r="N80" s="114"/>
      <c r="O80" s="114">
        <f t="shared" si="3"/>
        <v>950000</v>
      </c>
      <c r="P80" s="114"/>
      <c r="Q80" s="114">
        <f>O80</f>
        <v>950000</v>
      </c>
      <c r="R80" s="114"/>
      <c r="S80" s="114"/>
      <c r="T80" s="105"/>
      <c r="U80" s="231"/>
      <c r="V80" s="105"/>
    </row>
    <row r="81" spans="1:22" ht="31.5" x14ac:dyDescent="0.25">
      <c r="A81" s="112"/>
      <c r="B81" s="265">
        <v>1060503000</v>
      </c>
      <c r="C81" s="124" t="s">
        <v>282</v>
      </c>
      <c r="D81" s="239"/>
      <c r="E81" s="124"/>
      <c r="F81" s="239"/>
      <c r="G81" s="114">
        <v>2285692.13</v>
      </c>
      <c r="H81" s="124" t="s">
        <v>282</v>
      </c>
      <c r="I81" s="114">
        <f>G81</f>
        <v>2285692.13</v>
      </c>
      <c r="J81" s="114"/>
      <c r="K81" s="196">
        <f>I81</f>
        <v>2285692.13</v>
      </c>
      <c r="L81" s="222">
        <v>4030106000</v>
      </c>
      <c r="M81" s="125" t="s">
        <v>285</v>
      </c>
      <c r="N81" s="114"/>
      <c r="O81" s="114">
        <f>G81</f>
        <v>2285692.13</v>
      </c>
      <c r="P81" s="114">
        <f>O81</f>
        <v>2285692.13</v>
      </c>
      <c r="Q81" s="114"/>
      <c r="R81" s="114"/>
      <c r="S81" s="114"/>
      <c r="T81" s="105"/>
      <c r="U81" s="231"/>
      <c r="V81" s="105"/>
    </row>
    <row r="82" spans="1:22" x14ac:dyDescent="0.25">
      <c r="A82" s="112"/>
      <c r="B82" s="265">
        <v>1060601000</v>
      </c>
      <c r="C82" s="124" t="s">
        <v>72</v>
      </c>
      <c r="D82" s="239"/>
      <c r="E82" s="124"/>
      <c r="F82" s="239"/>
      <c r="G82" s="114">
        <v>2500000</v>
      </c>
      <c r="H82" s="124" t="s">
        <v>72</v>
      </c>
      <c r="I82" s="114">
        <f>G82</f>
        <v>2500000</v>
      </c>
      <c r="J82" s="114"/>
      <c r="K82" s="196">
        <f>I82</f>
        <v>2500000</v>
      </c>
      <c r="L82" s="222">
        <v>4040202000</v>
      </c>
      <c r="M82" s="125" t="s">
        <v>283</v>
      </c>
      <c r="N82" s="114"/>
      <c r="O82" s="114">
        <f>G82</f>
        <v>2500000</v>
      </c>
      <c r="P82" s="114">
        <f>O82</f>
        <v>2500000</v>
      </c>
      <c r="Q82" s="114"/>
      <c r="R82" s="114"/>
      <c r="S82" s="114"/>
      <c r="T82" s="105"/>
      <c r="U82" s="231"/>
      <c r="V82" s="105"/>
    </row>
    <row r="83" spans="1:22" x14ac:dyDescent="0.25">
      <c r="A83" s="112"/>
      <c r="B83" s="265">
        <v>1060499000</v>
      </c>
      <c r="C83" s="124" t="s">
        <v>284</v>
      </c>
      <c r="D83" s="239"/>
      <c r="E83" s="124"/>
      <c r="F83" s="239"/>
      <c r="G83" s="114">
        <v>934671.2</v>
      </c>
      <c r="H83" s="124"/>
      <c r="I83" s="114"/>
      <c r="J83" s="114"/>
      <c r="K83" s="196"/>
      <c r="L83" s="222">
        <v>1060499000</v>
      </c>
      <c r="M83" s="125" t="s">
        <v>284</v>
      </c>
      <c r="N83" s="114"/>
      <c r="O83" s="114">
        <f>G83</f>
        <v>934671.2</v>
      </c>
      <c r="P83" s="114">
        <f>O83</f>
        <v>934671.2</v>
      </c>
      <c r="Q83" s="114"/>
      <c r="R83" s="114"/>
      <c r="S83" s="114">
        <f>+P83</f>
        <v>934671.2</v>
      </c>
      <c r="T83" s="105"/>
      <c r="U83" s="231"/>
      <c r="V83" s="105"/>
    </row>
    <row r="84" spans="1:22" x14ac:dyDescent="0.25">
      <c r="A84" s="112"/>
      <c r="B84" s="265"/>
      <c r="C84" s="124" t="s">
        <v>47</v>
      </c>
      <c r="D84" s="239">
        <v>-900</v>
      </c>
      <c r="E84" s="124"/>
      <c r="F84" s="239"/>
      <c r="G84" s="114">
        <v>-900</v>
      </c>
      <c r="H84" s="124"/>
      <c r="I84" s="114"/>
      <c r="J84" s="114"/>
      <c r="K84" s="196"/>
      <c r="L84" s="222"/>
      <c r="M84" s="125" t="s">
        <v>190</v>
      </c>
      <c r="N84" s="114"/>
      <c r="O84" s="114">
        <v>900</v>
      </c>
      <c r="P84" s="114"/>
      <c r="Q84" s="114">
        <v>900</v>
      </c>
      <c r="R84" s="114"/>
      <c r="S84" s="114">
        <v>-900</v>
      </c>
      <c r="T84" s="105"/>
      <c r="U84" s="231"/>
      <c r="V84" s="105"/>
    </row>
    <row r="85" spans="1:22" x14ac:dyDescent="0.25">
      <c r="A85" s="112"/>
      <c r="B85" s="265"/>
      <c r="C85" s="124" t="s">
        <v>47</v>
      </c>
      <c r="D85" s="239">
        <v>3380.48</v>
      </c>
      <c r="E85" s="124"/>
      <c r="F85" s="239"/>
      <c r="G85" s="114">
        <v>3380.48</v>
      </c>
      <c r="H85" s="124"/>
      <c r="I85" s="114"/>
      <c r="J85" s="114"/>
      <c r="K85" s="196"/>
      <c r="L85" s="222"/>
      <c r="M85" s="125" t="s">
        <v>226</v>
      </c>
      <c r="N85" s="114">
        <v>3380.48</v>
      </c>
      <c r="O85" s="114"/>
      <c r="P85" s="114"/>
      <c r="Q85" s="114">
        <v>-3380.48</v>
      </c>
      <c r="R85" s="114"/>
      <c r="S85" s="114">
        <v>3380.48</v>
      </c>
      <c r="T85" s="105"/>
      <c r="U85" s="231"/>
      <c r="V85" s="105"/>
    </row>
    <row r="86" spans="1:22" x14ac:dyDescent="0.25">
      <c r="A86" s="112"/>
      <c r="B86" s="265"/>
      <c r="C86" s="124" t="s">
        <v>44</v>
      </c>
      <c r="D86" s="239">
        <v>-12500</v>
      </c>
      <c r="E86" s="124"/>
      <c r="F86" s="239"/>
      <c r="G86" s="114">
        <v>-12500</v>
      </c>
      <c r="H86" s="124"/>
      <c r="I86" s="114"/>
      <c r="J86" s="114"/>
      <c r="K86" s="196"/>
      <c r="L86" s="222"/>
      <c r="M86" s="125" t="s">
        <v>44</v>
      </c>
      <c r="N86" s="114"/>
      <c r="O86" s="114">
        <v>12500</v>
      </c>
      <c r="P86" s="114">
        <v>-12500</v>
      </c>
      <c r="Q86" s="114"/>
      <c r="R86" s="114"/>
      <c r="S86" s="114">
        <v>-12500</v>
      </c>
      <c r="T86" s="105"/>
      <c r="U86" s="231"/>
      <c r="V86" s="105"/>
    </row>
    <row r="87" spans="1:22" ht="31.5" x14ac:dyDescent="0.25">
      <c r="A87" s="112"/>
      <c r="B87" s="265"/>
      <c r="C87" s="124" t="s">
        <v>247</v>
      </c>
      <c r="D87" s="239">
        <v>-3500</v>
      </c>
      <c r="E87" s="124"/>
      <c r="F87" s="239"/>
      <c r="G87" s="114">
        <v>-3500</v>
      </c>
      <c r="H87" s="124"/>
      <c r="I87" s="114"/>
      <c r="J87" s="114"/>
      <c r="K87" s="196"/>
      <c r="L87" s="222"/>
      <c r="M87" s="125" t="s">
        <v>247</v>
      </c>
      <c r="N87" s="114"/>
      <c r="O87" s="114">
        <v>3500</v>
      </c>
      <c r="P87" s="114">
        <v>-3500</v>
      </c>
      <c r="Q87" s="114"/>
      <c r="R87" s="114"/>
      <c r="S87" s="114">
        <v>-3500</v>
      </c>
      <c r="T87" s="105"/>
      <c r="U87" s="231"/>
      <c r="V87" s="105"/>
    </row>
    <row r="88" spans="1:22" x14ac:dyDescent="0.25">
      <c r="A88" s="112"/>
      <c r="B88" s="265"/>
      <c r="C88" s="124" t="s">
        <v>216</v>
      </c>
      <c r="D88" s="239">
        <v>-12985</v>
      </c>
      <c r="E88" s="124"/>
      <c r="F88" s="239"/>
      <c r="G88" s="114">
        <v>-12985</v>
      </c>
      <c r="H88" s="124"/>
      <c r="I88" s="114"/>
      <c r="J88" s="114"/>
      <c r="K88" s="196"/>
      <c r="L88" s="222"/>
      <c r="M88" s="125" t="s">
        <v>216</v>
      </c>
      <c r="N88" s="114"/>
      <c r="O88" s="114">
        <v>12985</v>
      </c>
      <c r="P88" s="114">
        <v>-12985</v>
      </c>
      <c r="Q88" s="114"/>
      <c r="R88" s="114"/>
      <c r="S88" s="114">
        <v>-12985</v>
      </c>
      <c r="T88" s="105"/>
      <c r="U88" s="231"/>
      <c r="V88" s="105"/>
    </row>
    <row r="89" spans="1:22" x14ac:dyDescent="0.25">
      <c r="A89" s="112"/>
      <c r="B89" s="265"/>
      <c r="C89" s="124" t="s">
        <v>32</v>
      </c>
      <c r="D89" s="239">
        <v>-136889.79999999999</v>
      </c>
      <c r="E89" s="124"/>
      <c r="F89" s="239"/>
      <c r="G89" s="114">
        <v>-136889.79999999999</v>
      </c>
      <c r="H89" s="124"/>
      <c r="I89" s="114"/>
      <c r="J89" s="114"/>
      <c r="K89" s="196"/>
      <c r="L89" s="222"/>
      <c r="M89" s="125" t="s">
        <v>32</v>
      </c>
      <c r="N89" s="114"/>
      <c r="O89" s="114">
        <v>136889.79999999999</v>
      </c>
      <c r="P89" s="114">
        <v>-136889.79999999999</v>
      </c>
      <c r="Q89" s="114"/>
      <c r="R89" s="114"/>
      <c r="S89" s="114">
        <v>-136889.79999999999</v>
      </c>
      <c r="T89" s="105"/>
      <c r="U89" s="231"/>
      <c r="V89" s="105"/>
    </row>
    <row r="90" spans="1:22" x14ac:dyDescent="0.25">
      <c r="A90" s="112"/>
      <c r="B90" s="265"/>
      <c r="C90" s="124" t="s">
        <v>248</v>
      </c>
      <c r="D90" s="239">
        <v>-125205.4</v>
      </c>
      <c r="E90" s="124"/>
      <c r="F90" s="239"/>
      <c r="G90" s="114">
        <v>-125205.4</v>
      </c>
      <c r="H90" s="124"/>
      <c r="I90" s="114"/>
      <c r="J90" s="114"/>
      <c r="K90" s="196"/>
      <c r="L90" s="222"/>
      <c r="M90" s="125" t="s">
        <v>248</v>
      </c>
      <c r="N90" s="114"/>
      <c r="O90" s="114">
        <v>125205.4</v>
      </c>
      <c r="P90" s="114">
        <v>-125205.4</v>
      </c>
      <c r="Q90" s="114"/>
      <c r="R90" s="114"/>
      <c r="S90" s="114">
        <v>-125205.4</v>
      </c>
      <c r="T90" s="105"/>
      <c r="U90" s="231"/>
      <c r="V90" s="105"/>
    </row>
    <row r="91" spans="1:22" x14ac:dyDescent="0.25">
      <c r="A91" s="112"/>
      <c r="B91" s="265"/>
      <c r="C91" s="124" t="s">
        <v>96</v>
      </c>
      <c r="D91" s="239"/>
      <c r="E91" s="124"/>
      <c r="F91" s="239"/>
      <c r="G91" s="114">
        <v>-3004417</v>
      </c>
      <c r="H91" s="124" t="s">
        <v>29</v>
      </c>
      <c r="I91" s="114">
        <v>3004417</v>
      </c>
      <c r="J91" s="114"/>
      <c r="K91" s="196">
        <v>-3004417</v>
      </c>
      <c r="L91" s="222"/>
      <c r="M91" s="125" t="s">
        <v>73</v>
      </c>
      <c r="N91" s="114"/>
      <c r="O91" s="114">
        <v>3004417</v>
      </c>
      <c r="P91" s="114"/>
      <c r="Q91" s="114">
        <v>3004417</v>
      </c>
      <c r="R91" s="114"/>
      <c r="S91" s="114"/>
      <c r="T91" s="105"/>
      <c r="U91" s="231"/>
      <c r="V91" s="105"/>
    </row>
    <row r="92" spans="1:22" x14ac:dyDescent="0.25">
      <c r="A92" s="112"/>
      <c r="B92" s="265"/>
      <c r="C92" s="124" t="s">
        <v>97</v>
      </c>
      <c r="D92" s="239"/>
      <c r="E92" s="124"/>
      <c r="F92" s="239"/>
      <c r="G92" s="114">
        <v>-165000</v>
      </c>
      <c r="H92" s="124" t="s">
        <v>127</v>
      </c>
      <c r="I92" s="114">
        <v>165000</v>
      </c>
      <c r="J92" s="114"/>
      <c r="K92" s="196">
        <v>-165000</v>
      </c>
      <c r="L92" s="222"/>
      <c r="M92" s="125" t="s">
        <v>73</v>
      </c>
      <c r="N92" s="114"/>
      <c r="O92" s="114">
        <v>165000</v>
      </c>
      <c r="P92" s="114"/>
      <c r="Q92" s="114">
        <v>165000</v>
      </c>
      <c r="R92" s="114"/>
      <c r="S92" s="114"/>
      <c r="T92" s="105"/>
      <c r="U92" s="231"/>
      <c r="V92" s="105"/>
    </row>
    <row r="93" spans="1:22" x14ac:dyDescent="0.25">
      <c r="A93" s="112"/>
      <c r="B93" s="265"/>
      <c r="C93" s="124" t="s">
        <v>98</v>
      </c>
      <c r="D93" s="239"/>
      <c r="E93" s="124"/>
      <c r="F93" s="239"/>
      <c r="G93" s="114">
        <v>-3464.38</v>
      </c>
      <c r="H93" s="124" t="s">
        <v>47</v>
      </c>
      <c r="I93" s="114">
        <v>3464.38</v>
      </c>
      <c r="J93" s="114"/>
      <c r="K93" s="196">
        <v>-3464.38</v>
      </c>
      <c r="L93" s="222"/>
      <c r="M93" s="125" t="s">
        <v>73</v>
      </c>
      <c r="N93" s="114"/>
      <c r="O93" s="114">
        <v>3464.38</v>
      </c>
      <c r="P93" s="114"/>
      <c r="Q93" s="114">
        <v>3464.38</v>
      </c>
      <c r="R93" s="114"/>
      <c r="S93" s="114"/>
      <c r="T93" s="105"/>
      <c r="U93" s="231"/>
      <c r="V93" s="105"/>
    </row>
    <row r="94" spans="1:22" ht="31.5" x14ac:dyDescent="0.25">
      <c r="A94" s="112"/>
      <c r="B94" s="265"/>
      <c r="C94" s="124" t="s">
        <v>316</v>
      </c>
      <c r="D94" s="239"/>
      <c r="E94" s="124"/>
      <c r="F94" s="239"/>
      <c r="G94" s="114">
        <v>-937085</v>
      </c>
      <c r="H94" s="124" t="s">
        <v>323</v>
      </c>
      <c r="I94" s="114">
        <v>937085</v>
      </c>
      <c r="J94" s="114"/>
      <c r="K94" s="196">
        <v>-937085</v>
      </c>
      <c r="L94" s="222"/>
      <c r="M94" s="125" t="s">
        <v>73</v>
      </c>
      <c r="N94" s="114"/>
      <c r="O94" s="114">
        <v>937085</v>
      </c>
      <c r="P94" s="114"/>
      <c r="Q94" s="114">
        <v>937085</v>
      </c>
      <c r="R94" s="114"/>
      <c r="S94" s="114"/>
      <c r="T94" s="105"/>
      <c r="U94" s="231"/>
      <c r="V94" s="105"/>
    </row>
    <row r="95" spans="1:22" ht="31.5" x14ac:dyDescent="0.25">
      <c r="A95" s="112"/>
      <c r="B95" s="265"/>
      <c r="C95" s="124" t="s">
        <v>317</v>
      </c>
      <c r="D95" s="239"/>
      <c r="E95" s="124"/>
      <c r="F95" s="239"/>
      <c r="G95" s="114">
        <v>-7250</v>
      </c>
      <c r="H95" s="124" t="s">
        <v>324</v>
      </c>
      <c r="I95" s="114">
        <v>7250</v>
      </c>
      <c r="J95" s="114"/>
      <c r="K95" s="196">
        <v>-7250</v>
      </c>
      <c r="L95" s="222"/>
      <c r="M95" s="125" t="s">
        <v>73</v>
      </c>
      <c r="N95" s="114"/>
      <c r="O95" s="114">
        <v>7250</v>
      </c>
      <c r="P95" s="114"/>
      <c r="Q95" s="114">
        <v>7250</v>
      </c>
      <c r="R95" s="114"/>
      <c r="S95" s="114"/>
      <c r="T95" s="105"/>
      <c r="U95" s="231"/>
      <c r="V95" s="105"/>
    </row>
    <row r="96" spans="1:22" x14ac:dyDescent="0.25">
      <c r="A96" s="112"/>
      <c r="B96" s="265"/>
      <c r="C96" s="124" t="s">
        <v>99</v>
      </c>
      <c r="D96" s="239"/>
      <c r="E96" s="124"/>
      <c r="F96" s="239"/>
      <c r="G96" s="114">
        <v>-447400</v>
      </c>
      <c r="H96" s="124" t="s">
        <v>325</v>
      </c>
      <c r="I96" s="114">
        <v>447400</v>
      </c>
      <c r="J96" s="114"/>
      <c r="K96" s="196">
        <v>-447400</v>
      </c>
      <c r="L96" s="222"/>
      <c r="M96" s="125" t="s">
        <v>73</v>
      </c>
      <c r="N96" s="114"/>
      <c r="O96" s="114">
        <v>447400</v>
      </c>
      <c r="P96" s="114"/>
      <c r="Q96" s="114">
        <v>447400</v>
      </c>
      <c r="R96" s="114"/>
      <c r="S96" s="114"/>
      <c r="T96" s="105"/>
      <c r="U96" s="231"/>
      <c r="V96" s="105"/>
    </row>
    <row r="97" spans="1:22" x14ac:dyDescent="0.25">
      <c r="A97" s="112"/>
      <c r="B97" s="265"/>
      <c r="C97" s="124" t="s">
        <v>318</v>
      </c>
      <c r="D97" s="239"/>
      <c r="E97" s="124"/>
      <c r="F97" s="239"/>
      <c r="G97" s="114">
        <v>-29500</v>
      </c>
      <c r="H97" s="124" t="s">
        <v>326</v>
      </c>
      <c r="I97" s="114">
        <v>29500</v>
      </c>
      <c r="J97" s="114"/>
      <c r="K97" s="196">
        <v>-29500</v>
      </c>
      <c r="L97" s="222"/>
      <c r="M97" s="125" t="s">
        <v>73</v>
      </c>
      <c r="N97" s="114"/>
      <c r="O97" s="114">
        <v>29500</v>
      </c>
      <c r="P97" s="114"/>
      <c r="Q97" s="114">
        <v>29500</v>
      </c>
      <c r="R97" s="114"/>
      <c r="S97" s="114"/>
      <c r="T97" s="105"/>
      <c r="U97" s="231"/>
      <c r="V97" s="105"/>
    </row>
    <row r="98" spans="1:22" ht="31.5" x14ac:dyDescent="0.25">
      <c r="A98" s="112"/>
      <c r="B98" s="265"/>
      <c r="C98" s="124" t="s">
        <v>319</v>
      </c>
      <c r="D98" s="239"/>
      <c r="E98" s="124"/>
      <c r="F98" s="239"/>
      <c r="G98" s="114">
        <v>-20050</v>
      </c>
      <c r="H98" s="124" t="s">
        <v>327</v>
      </c>
      <c r="I98" s="114">
        <v>20050</v>
      </c>
      <c r="J98" s="114"/>
      <c r="K98" s="196">
        <v>-20050</v>
      </c>
      <c r="L98" s="222"/>
      <c r="M98" s="125" t="s">
        <v>73</v>
      </c>
      <c r="N98" s="114"/>
      <c r="O98" s="114">
        <v>20050</v>
      </c>
      <c r="P98" s="114"/>
      <c r="Q98" s="114">
        <v>20050</v>
      </c>
      <c r="R98" s="114"/>
      <c r="S98" s="114"/>
      <c r="T98" s="105"/>
      <c r="U98" s="231"/>
      <c r="V98" s="105"/>
    </row>
    <row r="99" spans="1:22" ht="47.25" x14ac:dyDescent="0.25">
      <c r="A99" s="112"/>
      <c r="B99" s="265"/>
      <c r="C99" s="124" t="s">
        <v>320</v>
      </c>
      <c r="D99" s="239"/>
      <c r="E99" s="124"/>
      <c r="F99" s="239"/>
      <c r="G99" s="114">
        <v>-16965</v>
      </c>
      <c r="H99" s="124" t="s">
        <v>328</v>
      </c>
      <c r="I99" s="114">
        <v>16965</v>
      </c>
      <c r="J99" s="114"/>
      <c r="K99" s="196">
        <v>-16965</v>
      </c>
      <c r="L99" s="222"/>
      <c r="M99" s="125" t="s">
        <v>73</v>
      </c>
      <c r="N99" s="114"/>
      <c r="O99" s="114">
        <v>16965</v>
      </c>
      <c r="P99" s="114"/>
      <c r="Q99" s="114">
        <v>16965</v>
      </c>
      <c r="R99" s="114"/>
      <c r="S99" s="114"/>
      <c r="T99" s="105"/>
      <c r="U99" s="231"/>
      <c r="V99" s="105"/>
    </row>
    <row r="100" spans="1:22" x14ac:dyDescent="0.25">
      <c r="A100" s="112"/>
      <c r="B100" s="265"/>
      <c r="C100" s="124" t="s">
        <v>321</v>
      </c>
      <c r="D100" s="239"/>
      <c r="E100" s="124"/>
      <c r="F100" s="239"/>
      <c r="G100" s="114">
        <v>-205600</v>
      </c>
      <c r="H100" s="124" t="s">
        <v>329</v>
      </c>
      <c r="I100" s="114">
        <v>205600</v>
      </c>
      <c r="J100" s="114"/>
      <c r="K100" s="196">
        <v>-205600</v>
      </c>
      <c r="L100" s="222"/>
      <c r="M100" s="125" t="s">
        <v>73</v>
      </c>
      <c r="N100" s="114"/>
      <c r="O100" s="114">
        <v>205600</v>
      </c>
      <c r="P100" s="114"/>
      <c r="Q100" s="114">
        <v>205600</v>
      </c>
      <c r="R100" s="114"/>
      <c r="S100" s="114"/>
      <c r="T100" s="105"/>
      <c r="U100" s="231"/>
      <c r="V100" s="105"/>
    </row>
    <row r="101" spans="1:22" x14ac:dyDescent="0.25">
      <c r="A101" s="112"/>
      <c r="B101" s="265"/>
      <c r="C101" s="124" t="s">
        <v>322</v>
      </c>
      <c r="D101" s="239"/>
      <c r="E101" s="124"/>
      <c r="F101" s="239"/>
      <c r="G101" s="114">
        <v>-1250162.43</v>
      </c>
      <c r="H101" s="124" t="s">
        <v>330</v>
      </c>
      <c r="I101" s="114">
        <v>1250162.43</v>
      </c>
      <c r="J101" s="114"/>
      <c r="K101" s="196">
        <v>-1250162.43</v>
      </c>
      <c r="L101" s="222"/>
      <c r="M101" s="125" t="s">
        <v>73</v>
      </c>
      <c r="N101" s="114"/>
      <c r="O101" s="114">
        <v>1250162.43</v>
      </c>
      <c r="P101" s="114"/>
      <c r="Q101" s="114">
        <v>1250162.43</v>
      </c>
      <c r="R101" s="114"/>
      <c r="S101" s="114"/>
      <c r="T101" s="105"/>
      <c r="U101" s="231"/>
      <c r="V101" s="105"/>
    </row>
    <row r="102" spans="1:22" s="123" customFormat="1" ht="31.5" x14ac:dyDescent="0.25">
      <c r="A102" s="118"/>
      <c r="B102" s="267"/>
      <c r="C102" s="119" t="s">
        <v>54</v>
      </c>
      <c r="D102" s="119"/>
      <c r="E102" s="119"/>
      <c r="F102" s="239">
        <f>IFERROR(VLOOKUP(B102,'WORKING PAPER FC1'!$I$11:$J$12,2,FALSE),0)</f>
        <v>0</v>
      </c>
      <c r="G102" s="120"/>
      <c r="H102" s="121"/>
      <c r="I102" s="120"/>
      <c r="J102" s="120"/>
      <c r="K102" s="198"/>
      <c r="L102" s="221"/>
      <c r="M102" s="120"/>
      <c r="N102" s="120"/>
      <c r="O102" s="120"/>
      <c r="P102" s="120"/>
      <c r="Q102" s="114"/>
      <c r="R102" s="120"/>
      <c r="S102" s="120"/>
      <c r="T102" s="122"/>
      <c r="U102" s="122"/>
      <c r="V102" s="122"/>
    </row>
    <row r="103" spans="1:22" ht="31.5" x14ac:dyDescent="0.25">
      <c r="A103" s="112"/>
      <c r="B103" s="265">
        <v>5021499000</v>
      </c>
      <c r="C103" s="124" t="s">
        <v>205</v>
      </c>
      <c r="D103" s="124"/>
      <c r="E103" s="124"/>
      <c r="F103" s="239"/>
      <c r="G103" s="114">
        <f>10265.13</f>
        <v>10265.129999999999</v>
      </c>
      <c r="H103" s="128" t="s">
        <v>34</v>
      </c>
      <c r="I103" s="114"/>
      <c r="J103" s="114">
        <v>10265.129999999999</v>
      </c>
      <c r="K103" s="196">
        <f>J103</f>
        <v>10265.129999999999</v>
      </c>
      <c r="L103" s="222">
        <v>1040202000</v>
      </c>
      <c r="M103" s="114" t="s">
        <v>36</v>
      </c>
      <c r="N103" s="114">
        <f>J103</f>
        <v>10265.129999999999</v>
      </c>
      <c r="O103" s="114"/>
      <c r="P103" s="114">
        <f>N103</f>
        <v>10265.129999999999</v>
      </c>
      <c r="Q103" s="114"/>
      <c r="R103" s="114"/>
      <c r="S103" s="114"/>
      <c r="T103" s="105"/>
      <c r="U103" s="105"/>
      <c r="V103" s="105"/>
    </row>
    <row r="104" spans="1:22" x14ac:dyDescent="0.25">
      <c r="A104" s="112"/>
      <c r="B104" s="265">
        <v>5021499000</v>
      </c>
      <c r="C104" s="128" t="s">
        <v>34</v>
      </c>
      <c r="D104" s="124"/>
      <c r="E104" s="124"/>
      <c r="F104" s="239"/>
      <c r="G104" s="114">
        <v>2450</v>
      </c>
      <c r="H104" s="128" t="s">
        <v>34</v>
      </c>
      <c r="I104" s="114"/>
      <c r="J104" s="114">
        <v>2450</v>
      </c>
      <c r="K104" s="196">
        <v>2450</v>
      </c>
      <c r="L104" s="222">
        <v>2010101000</v>
      </c>
      <c r="M104" s="114" t="s">
        <v>25</v>
      </c>
      <c r="N104" s="114">
        <v>2450</v>
      </c>
      <c r="O104" s="114"/>
      <c r="P104" s="114"/>
      <c r="Q104" s="114">
        <v>-2450</v>
      </c>
      <c r="R104" s="114"/>
      <c r="S104" s="114"/>
      <c r="T104" s="105"/>
      <c r="U104" s="105"/>
      <c r="V104" s="105"/>
    </row>
    <row r="105" spans="1:22" ht="31.5" x14ac:dyDescent="0.25">
      <c r="A105" s="112"/>
      <c r="B105" s="265">
        <v>5020301001</v>
      </c>
      <c r="C105" s="124" t="s">
        <v>192</v>
      </c>
      <c r="D105" s="124"/>
      <c r="E105" s="124"/>
      <c r="F105" s="239"/>
      <c r="G105" s="114">
        <f>209080</f>
        <v>209080</v>
      </c>
      <c r="H105" s="124" t="s">
        <v>192</v>
      </c>
      <c r="I105" s="114"/>
      <c r="J105" s="114">
        <f>G105</f>
        <v>209080</v>
      </c>
      <c r="K105" s="196">
        <f>J105</f>
        <v>209080</v>
      </c>
      <c r="L105" s="222">
        <v>1040503000</v>
      </c>
      <c r="M105" s="125" t="s">
        <v>242</v>
      </c>
      <c r="N105" s="114">
        <f>J105</f>
        <v>209080</v>
      </c>
      <c r="O105" s="114"/>
      <c r="P105" s="114">
        <f>N105</f>
        <v>209080</v>
      </c>
      <c r="Q105" s="114"/>
      <c r="R105" s="114"/>
      <c r="S105" s="114"/>
      <c r="T105" s="105"/>
      <c r="U105" s="105"/>
      <c r="V105" s="105"/>
    </row>
    <row r="106" spans="1:22" ht="31.5" x14ac:dyDescent="0.25">
      <c r="A106" s="112"/>
      <c r="B106" s="265">
        <v>5020322001</v>
      </c>
      <c r="C106" s="124" t="s">
        <v>215</v>
      </c>
      <c r="D106" s="124"/>
      <c r="E106" s="124"/>
      <c r="F106" s="239"/>
      <c r="G106" s="114">
        <v>1367.4</v>
      </c>
      <c r="H106" s="124" t="s">
        <v>215</v>
      </c>
      <c r="I106" s="114"/>
      <c r="J106" s="114">
        <f>G106</f>
        <v>1367.4</v>
      </c>
      <c r="K106" s="196">
        <f>J106</f>
        <v>1367.4</v>
      </c>
      <c r="L106" s="222">
        <v>2010101000</v>
      </c>
      <c r="M106" s="114" t="s">
        <v>25</v>
      </c>
      <c r="N106" s="114">
        <f>J106</f>
        <v>1367.4</v>
      </c>
      <c r="O106" s="114"/>
      <c r="P106" s="114">
        <f>N106</f>
        <v>1367.4</v>
      </c>
      <c r="Q106" s="114"/>
      <c r="R106" s="114"/>
      <c r="S106" s="114"/>
      <c r="T106" s="105"/>
      <c r="U106" s="105"/>
      <c r="V106" s="105"/>
    </row>
    <row r="107" spans="1:22" ht="31.5" x14ac:dyDescent="0.25">
      <c r="A107" s="112"/>
      <c r="B107" s="265"/>
      <c r="C107" s="124" t="s">
        <v>331</v>
      </c>
      <c r="D107" s="124"/>
      <c r="E107" s="124"/>
      <c r="F107" s="239"/>
      <c r="G107" s="114">
        <v>2657298.4</v>
      </c>
      <c r="H107" s="124" t="s">
        <v>34</v>
      </c>
      <c r="I107" s="114"/>
      <c r="J107" s="114">
        <v>2657298.4</v>
      </c>
      <c r="K107" s="196">
        <v>2657298.4</v>
      </c>
      <c r="L107" s="222"/>
      <c r="M107" s="114" t="s">
        <v>73</v>
      </c>
      <c r="N107" s="114">
        <v>2657298.4</v>
      </c>
      <c r="O107" s="114"/>
      <c r="P107" s="114"/>
      <c r="Q107" s="114">
        <v>-2657298.4</v>
      </c>
      <c r="R107" s="114"/>
      <c r="S107" s="114"/>
      <c r="T107" s="105"/>
      <c r="U107" s="105"/>
      <c r="V107" s="105"/>
    </row>
    <row r="108" spans="1:22" x14ac:dyDescent="0.25">
      <c r="A108" s="112"/>
      <c r="B108" s="265"/>
      <c r="C108" s="124" t="s">
        <v>332</v>
      </c>
      <c r="D108" s="124"/>
      <c r="E108" s="124"/>
      <c r="F108" s="239"/>
      <c r="G108" s="114">
        <v>173.88</v>
      </c>
      <c r="H108" s="124" t="s">
        <v>47</v>
      </c>
      <c r="I108" s="114"/>
      <c r="J108" s="114">
        <v>173.88</v>
      </c>
      <c r="K108" s="196">
        <v>173.88</v>
      </c>
      <c r="L108" s="222"/>
      <c r="M108" s="114" t="s">
        <v>73</v>
      </c>
      <c r="N108" s="114">
        <v>173.88</v>
      </c>
      <c r="O108" s="114"/>
      <c r="P108" s="114"/>
      <c r="Q108" s="114">
        <v>-173.88</v>
      </c>
      <c r="R108" s="114"/>
      <c r="S108" s="114"/>
      <c r="T108" s="105"/>
      <c r="U108" s="105"/>
      <c r="V108" s="105"/>
    </row>
    <row r="109" spans="1:22" s="123" customFormat="1" ht="31.5" x14ac:dyDescent="0.25">
      <c r="A109" s="118"/>
      <c r="B109" s="267"/>
      <c r="C109" s="119" t="s">
        <v>58</v>
      </c>
      <c r="D109" s="119"/>
      <c r="E109" s="119"/>
      <c r="F109" s="239"/>
      <c r="G109" s="120"/>
      <c r="H109" s="121"/>
      <c r="I109" s="120"/>
      <c r="J109" s="120"/>
      <c r="K109" s="198"/>
      <c r="L109" s="221"/>
      <c r="M109" s="121"/>
      <c r="N109" s="120"/>
      <c r="O109" s="120"/>
      <c r="P109" s="120"/>
      <c r="Q109" s="120"/>
      <c r="R109" s="120"/>
      <c r="S109" s="120"/>
      <c r="T109" s="122"/>
      <c r="U109" s="122"/>
      <c r="V109" s="122"/>
    </row>
    <row r="110" spans="1:22" x14ac:dyDescent="0.25">
      <c r="A110" s="112"/>
      <c r="B110" s="265">
        <v>5021499000</v>
      </c>
      <c r="C110" s="124" t="s">
        <v>59</v>
      </c>
      <c r="D110" s="124"/>
      <c r="E110" s="124"/>
      <c r="F110" s="239"/>
      <c r="G110" s="129">
        <f>-'[10]CDJ LGU (VL)'!$H$12-'[15]CDJ LGU (VL)'!$H$12-'[14]CDJ LGU (VL)'!$H$12+[16]TB!$Q$122-[16]TB!$P$122-15605574.75-6987608.61+'WORKING PAPER FC1'!J4+'WORKING PAPER FC1'!T5+'WORKING PAPER FC1'!AC5-5012382.21+'WORKING PAPER FC1'!AC45-5951471.76</f>
        <v>-52158177.369999997</v>
      </c>
      <c r="H110" s="128" t="s">
        <v>34</v>
      </c>
      <c r="I110" s="114">
        <f>G110*-1</f>
        <v>52158177.369999997</v>
      </c>
      <c r="J110" s="114"/>
      <c r="K110" s="196">
        <f t="shared" ref="K110:K112" si="11">G110</f>
        <v>-52158177.369999997</v>
      </c>
      <c r="L110" s="224">
        <v>1030303000</v>
      </c>
      <c r="M110" s="125" t="s">
        <v>60</v>
      </c>
      <c r="N110" s="114"/>
      <c r="O110" s="114">
        <f t="shared" ref="O110:O115" si="12">I110</f>
        <v>52158177.369999997</v>
      </c>
      <c r="P110" s="114">
        <f>-O110+N110</f>
        <v>-52158177.369999997</v>
      </c>
      <c r="Q110" s="114"/>
      <c r="R110" s="114"/>
      <c r="S110" s="114"/>
      <c r="T110" s="105"/>
      <c r="U110" s="105"/>
      <c r="V110" s="105"/>
    </row>
    <row r="111" spans="1:22" x14ac:dyDescent="0.25">
      <c r="A111" s="112"/>
      <c r="B111" s="265">
        <v>5021499000</v>
      </c>
      <c r="C111" s="124" t="s">
        <v>61</v>
      </c>
      <c r="D111" s="124"/>
      <c r="E111" s="124"/>
      <c r="F111" s="239"/>
      <c r="G111" s="129">
        <f>-'[10]SDO-NIKKI'!$H$11-'[10]SDO-NIKKI'!$H$671-'[15]SDO-NIKKI'!$H$12-'[14]SDO-NIKKI'!$H$11-[16]TB!$N$122-8457088.15+1057600-74100-312000+'WORKING PAPER FC1'!J5+'WORKING PAPER FC1'!T4+'WORKING PAPER FC1'!AC4+2135004.86</f>
        <v>-395005527.64999998</v>
      </c>
      <c r="H111" s="128" t="s">
        <v>34</v>
      </c>
      <c r="I111" s="114">
        <f>G111*-1</f>
        <v>395005527.64999998</v>
      </c>
      <c r="J111" s="114"/>
      <c r="K111" s="196">
        <f t="shared" si="11"/>
        <v>-395005527.64999998</v>
      </c>
      <c r="L111" s="222">
        <v>1990103000</v>
      </c>
      <c r="M111" s="125" t="s">
        <v>62</v>
      </c>
      <c r="N111" s="114"/>
      <c r="O111" s="114">
        <f t="shared" si="12"/>
        <v>395005527.64999998</v>
      </c>
      <c r="P111" s="114">
        <f>-O111</f>
        <v>-395005527.64999998</v>
      </c>
      <c r="Q111" s="114"/>
      <c r="R111" s="114"/>
      <c r="S111" s="114"/>
      <c r="T111" s="105"/>
      <c r="U111" s="105"/>
      <c r="V111" s="105"/>
    </row>
    <row r="112" spans="1:22" x14ac:dyDescent="0.25">
      <c r="A112" s="112"/>
      <c r="B112" s="265">
        <v>5021499000</v>
      </c>
      <c r="C112" s="124" t="s">
        <v>63</v>
      </c>
      <c r="D112" s="124"/>
      <c r="E112" s="124"/>
      <c r="F112" s="239"/>
      <c r="G112" s="129">
        <f>-'[10]SDO-NIKKI'!$H$573-'[15]SDO-NIKKI'!$H$283-'[14]SDO-NIKKI'!$H$283-3000000-2075000+'WORKING PAPER FC1'!Z17-2135004.86-'[17]SDO-NIKKI'!$H$321-'[17]SDO-NIKKI'!$H$393-6976400</f>
        <v>-19412765.309999999</v>
      </c>
      <c r="H112" s="128" t="s">
        <v>34</v>
      </c>
      <c r="I112" s="114">
        <f>G112*-1</f>
        <v>19412765.309999999</v>
      </c>
      <c r="J112" s="114"/>
      <c r="K112" s="196">
        <f t="shared" si="11"/>
        <v>-19412765.309999999</v>
      </c>
      <c r="L112" s="222">
        <v>1010102000</v>
      </c>
      <c r="M112" s="125" t="s">
        <v>64</v>
      </c>
      <c r="N112" s="114"/>
      <c r="O112" s="114">
        <f t="shared" si="12"/>
        <v>19412765.309999999</v>
      </c>
      <c r="P112" s="114">
        <f>-O112</f>
        <v>-19412765.309999999</v>
      </c>
      <c r="Q112" s="114"/>
      <c r="R112" s="114"/>
      <c r="S112" s="114"/>
      <c r="T112" s="105"/>
      <c r="U112" s="105"/>
      <c r="V112" s="105"/>
    </row>
    <row r="113" spans="1:22" x14ac:dyDescent="0.25">
      <c r="A113" s="112"/>
      <c r="B113" s="265"/>
      <c r="C113" s="124" t="s">
        <v>63</v>
      </c>
      <c r="D113" s="124"/>
      <c r="E113" s="124"/>
      <c r="F113" s="239"/>
      <c r="G113" s="129">
        <v>-5033849.5</v>
      </c>
      <c r="H113" s="128"/>
      <c r="I113" s="114"/>
      <c r="J113" s="114"/>
      <c r="K113" s="196"/>
      <c r="L113" s="222">
        <v>1010102000</v>
      </c>
      <c r="M113" s="125" t="s">
        <v>64</v>
      </c>
      <c r="N113" s="114"/>
      <c r="O113" s="114">
        <f>G113*-1</f>
        <v>5033849.5</v>
      </c>
      <c r="P113" s="114">
        <f>-O113</f>
        <v>-5033849.5</v>
      </c>
      <c r="Q113" s="114"/>
      <c r="R113" s="114"/>
      <c r="S113" s="114">
        <v>-5033849.5</v>
      </c>
      <c r="T113" s="105"/>
      <c r="U113" s="105"/>
      <c r="V113" s="105"/>
    </row>
    <row r="114" spans="1:22" x14ac:dyDescent="0.25">
      <c r="A114" s="112"/>
      <c r="B114" s="265">
        <v>5021601000</v>
      </c>
      <c r="C114" s="124" t="s">
        <v>65</v>
      </c>
      <c r="D114" s="124"/>
      <c r="E114" s="124"/>
      <c r="F114" s="239"/>
      <c r="G114" s="129">
        <f>-'[10]SDO-NIKKI'!$H$636+'[10]SDO-NIKKI'!$I$713</f>
        <v>-177381.93</v>
      </c>
      <c r="H114" s="128" t="s">
        <v>50</v>
      </c>
      <c r="I114" s="114">
        <f>G114*-1-J114</f>
        <v>177375.49</v>
      </c>
      <c r="J114" s="114">
        <f>'[10]SDO-NIKKI'!$H$712</f>
        <v>6.44</v>
      </c>
      <c r="K114" s="196">
        <f>-I114-J114</f>
        <v>-177381.93</v>
      </c>
      <c r="L114" s="222">
        <v>1990102000</v>
      </c>
      <c r="M114" s="125" t="s">
        <v>66</v>
      </c>
      <c r="N114" s="114">
        <f>J114</f>
        <v>6.44</v>
      </c>
      <c r="O114" s="114">
        <f t="shared" si="12"/>
        <v>177375.49</v>
      </c>
      <c r="P114" s="114">
        <f>-(O114+N114)</f>
        <v>-177381.93</v>
      </c>
      <c r="Q114" s="114"/>
      <c r="R114" s="114"/>
      <c r="S114" s="114"/>
      <c r="T114" s="105"/>
      <c r="U114" s="105"/>
      <c r="V114" s="105"/>
    </row>
    <row r="115" spans="1:22" x14ac:dyDescent="0.25">
      <c r="A115" s="112"/>
      <c r="B115" s="265">
        <v>5021499000</v>
      </c>
      <c r="C115" s="124" t="s">
        <v>263</v>
      </c>
      <c r="D115" s="124"/>
      <c r="E115" s="124"/>
      <c r="F115" s="239"/>
      <c r="G115" s="129">
        <f>'WORKING PAPER FC1'!T27</f>
        <v>-6000</v>
      </c>
      <c r="H115" s="128" t="s">
        <v>34</v>
      </c>
      <c r="I115" s="114">
        <f>G115*-1-J115</f>
        <v>6000</v>
      </c>
      <c r="J115" s="114"/>
      <c r="K115" s="196">
        <f>-I115-J115</f>
        <v>-6000</v>
      </c>
      <c r="L115" s="222">
        <v>1039999000</v>
      </c>
      <c r="M115" s="125" t="s">
        <v>168</v>
      </c>
      <c r="N115" s="114"/>
      <c r="O115" s="114">
        <f t="shared" si="12"/>
        <v>6000</v>
      </c>
      <c r="P115" s="114">
        <f>-(O115+N115)</f>
        <v>-6000</v>
      </c>
      <c r="Q115" s="114"/>
      <c r="R115" s="114"/>
      <c r="S115" s="114"/>
      <c r="T115" s="105"/>
      <c r="U115" s="105"/>
      <c r="V115" s="105"/>
    </row>
    <row r="116" spans="1:22" x14ac:dyDescent="0.25">
      <c r="A116" s="112"/>
      <c r="B116" s="265">
        <v>5021499000</v>
      </c>
      <c r="C116" s="124" t="s">
        <v>262</v>
      </c>
      <c r="D116" s="124"/>
      <c r="E116" s="124"/>
      <c r="F116" s="239"/>
      <c r="G116" s="129">
        <f>'WORKING PAPER FC1'!T28+'WORKING PAPER FC1'!AC59-2738040</f>
        <v>-2747640</v>
      </c>
      <c r="H116" s="128" t="s">
        <v>34</v>
      </c>
      <c r="I116" s="114">
        <v>19626768</v>
      </c>
      <c r="J116" s="114"/>
      <c r="K116" s="196">
        <f>-I116-J116</f>
        <v>-19626768</v>
      </c>
      <c r="L116" s="222">
        <v>1030301000</v>
      </c>
      <c r="M116" s="125" t="s">
        <v>69</v>
      </c>
      <c r="N116" s="114"/>
      <c r="O116" s="114">
        <f>G116*-1</f>
        <v>2747640</v>
      </c>
      <c r="P116" s="114">
        <f>-(O116+N116)</f>
        <v>-2747640</v>
      </c>
      <c r="Q116" s="114"/>
      <c r="R116" s="114"/>
      <c r="S116" s="114"/>
      <c r="T116" s="105"/>
      <c r="U116" s="105"/>
      <c r="V116" s="105"/>
    </row>
    <row r="117" spans="1:22" x14ac:dyDescent="0.25">
      <c r="A117" s="112"/>
      <c r="B117" s="265">
        <v>1030301000</v>
      </c>
      <c r="C117" s="124" t="s">
        <v>262</v>
      </c>
      <c r="D117" s="124"/>
      <c r="E117" s="124"/>
      <c r="F117" s="239"/>
      <c r="G117" s="129">
        <f>+'WORKING PAPER FC1'!Z16</f>
        <v>0</v>
      </c>
      <c r="H117" s="128"/>
      <c r="I117" s="114"/>
      <c r="J117" s="114"/>
      <c r="K117" s="196"/>
      <c r="L117" s="222">
        <v>2020105000</v>
      </c>
      <c r="M117" s="125" t="s">
        <v>270</v>
      </c>
      <c r="N117" s="114">
        <v>9488.57</v>
      </c>
      <c r="O117" s="114"/>
      <c r="P117" s="114"/>
      <c r="Q117" s="114">
        <f>-N117</f>
        <v>-9488.57</v>
      </c>
      <c r="R117" s="114"/>
      <c r="S117" s="114">
        <f>+G117</f>
        <v>0</v>
      </c>
      <c r="T117" s="105"/>
      <c r="U117" s="105"/>
      <c r="V117" s="105"/>
    </row>
    <row r="118" spans="1:22" x14ac:dyDescent="0.25">
      <c r="A118" s="112"/>
      <c r="B118" s="265"/>
      <c r="C118" s="124" t="s">
        <v>183</v>
      </c>
      <c r="D118" s="124"/>
      <c r="E118" s="124"/>
      <c r="F118" s="239"/>
      <c r="G118" s="129">
        <v>37671.979999999996</v>
      </c>
      <c r="H118" s="128"/>
      <c r="I118" s="114"/>
      <c r="J118" s="114"/>
      <c r="K118" s="196"/>
      <c r="L118" s="222"/>
      <c r="M118" s="125" t="s">
        <v>182</v>
      </c>
      <c r="N118" s="114">
        <v>37671.979999999996</v>
      </c>
      <c r="O118" s="114"/>
      <c r="P118" s="114"/>
      <c r="Q118" s="114">
        <v>-37671.979999999996</v>
      </c>
      <c r="R118" s="114"/>
      <c r="S118" s="114">
        <v>37671.979999999996</v>
      </c>
      <c r="T118" s="105"/>
      <c r="U118" s="105"/>
      <c r="V118" s="105"/>
    </row>
    <row r="119" spans="1:22" ht="31.5" x14ac:dyDescent="0.25">
      <c r="A119" s="112"/>
      <c r="B119" s="265"/>
      <c r="C119" s="124" t="s">
        <v>333</v>
      </c>
      <c r="D119" s="124"/>
      <c r="E119" s="124"/>
      <c r="F119" s="239"/>
      <c r="G119" s="129">
        <v>690782.57</v>
      </c>
      <c r="H119" s="128" t="s">
        <v>34</v>
      </c>
      <c r="I119" s="114"/>
      <c r="J119" s="114">
        <v>690782.57</v>
      </c>
      <c r="K119" s="196">
        <v>690782.57</v>
      </c>
      <c r="L119" s="222"/>
      <c r="M119" s="125" t="s">
        <v>60</v>
      </c>
      <c r="N119" s="114">
        <v>690782.57</v>
      </c>
      <c r="O119" s="114"/>
      <c r="P119" s="114">
        <v>690782.57</v>
      </c>
      <c r="Q119" s="114"/>
      <c r="R119" s="114"/>
      <c r="S119" s="114"/>
      <c r="T119" s="105"/>
      <c r="U119" s="105"/>
      <c r="V119" s="105"/>
    </row>
    <row r="120" spans="1:22" ht="31.5" x14ac:dyDescent="0.25">
      <c r="A120" s="112"/>
      <c r="B120" s="265"/>
      <c r="C120" s="124" t="s">
        <v>94</v>
      </c>
      <c r="D120" s="124"/>
      <c r="E120" s="124"/>
      <c r="F120" s="239"/>
      <c r="G120" s="129">
        <v>-221125826.09</v>
      </c>
      <c r="H120" s="128" t="s">
        <v>34</v>
      </c>
      <c r="I120" s="114">
        <v>221125826.09</v>
      </c>
      <c r="J120" s="114"/>
      <c r="K120" s="196">
        <v>-221125826.09</v>
      </c>
      <c r="L120" s="222"/>
      <c r="M120" s="125" t="s">
        <v>60</v>
      </c>
      <c r="N120" s="114"/>
      <c r="O120" s="114">
        <v>221125826.09</v>
      </c>
      <c r="P120" s="114">
        <v>-221125826.09</v>
      </c>
      <c r="Q120" s="114"/>
      <c r="R120" s="114"/>
      <c r="S120" s="114"/>
      <c r="T120" s="105"/>
      <c r="U120" s="105"/>
      <c r="V120" s="105"/>
    </row>
    <row r="121" spans="1:22" ht="31.5" x14ac:dyDescent="0.25">
      <c r="A121" s="112"/>
      <c r="B121" s="265"/>
      <c r="C121" s="124" t="s">
        <v>311</v>
      </c>
      <c r="D121" s="124"/>
      <c r="E121" s="124"/>
      <c r="F121" s="239"/>
      <c r="G121" s="129">
        <v>-2622093.7599999998</v>
      </c>
      <c r="H121" s="128" t="s">
        <v>34</v>
      </c>
      <c r="I121" s="114">
        <v>2622093.7599999998</v>
      </c>
      <c r="J121" s="114"/>
      <c r="K121" s="196">
        <v>-2622093.7599999998</v>
      </c>
      <c r="L121" s="222"/>
      <c r="M121" s="125" t="s">
        <v>313</v>
      </c>
      <c r="N121" s="114"/>
      <c r="O121" s="114">
        <v>2622093.7599999998</v>
      </c>
      <c r="P121" s="114">
        <v>-2622093.7599999998</v>
      </c>
      <c r="Q121" s="114"/>
      <c r="R121" s="114"/>
      <c r="S121" s="114"/>
      <c r="T121" s="105"/>
      <c r="U121" s="105"/>
      <c r="V121" s="105"/>
    </row>
    <row r="122" spans="1:22" x14ac:dyDescent="0.25">
      <c r="A122" s="112"/>
      <c r="B122" s="265"/>
      <c r="C122" s="119" t="s">
        <v>70</v>
      </c>
      <c r="D122" s="119"/>
      <c r="E122" s="119"/>
      <c r="F122" s="239"/>
      <c r="G122" s="129"/>
      <c r="H122" s="128"/>
      <c r="I122" s="114"/>
      <c r="J122" s="114"/>
      <c r="K122" s="196"/>
      <c r="L122" s="222"/>
      <c r="M122" s="125"/>
      <c r="N122" s="114"/>
      <c r="O122" s="114"/>
      <c r="P122" s="114"/>
      <c r="Q122" s="114"/>
      <c r="R122" s="114"/>
      <c r="S122" s="114"/>
      <c r="T122" s="105"/>
      <c r="U122" s="105"/>
      <c r="V122" s="105"/>
    </row>
    <row r="123" spans="1:22" x14ac:dyDescent="0.25">
      <c r="A123" s="112"/>
      <c r="B123" s="265">
        <v>5021199000</v>
      </c>
      <c r="C123" s="113" t="s">
        <v>197</v>
      </c>
      <c r="D123" s="113"/>
      <c r="E123" s="113"/>
      <c r="F123" s="239"/>
      <c r="G123" s="129">
        <f>'[10]JEV-GJ.'!$I$1840+'WORKING PAPER FC1'!T11</f>
        <v>83274.48</v>
      </c>
      <c r="H123" s="113" t="s">
        <v>47</v>
      </c>
      <c r="I123" s="129"/>
      <c r="J123" s="114">
        <f>G123</f>
        <v>83274.48</v>
      </c>
      <c r="K123" s="196">
        <f>G123</f>
        <v>83274.48</v>
      </c>
      <c r="L123" s="222">
        <v>2010101000</v>
      </c>
      <c r="M123" s="125" t="s">
        <v>73</v>
      </c>
      <c r="N123" s="114">
        <f>J123</f>
        <v>83274.48</v>
      </c>
      <c r="O123" s="114"/>
      <c r="P123" s="114">
        <f>-O123</f>
        <v>0</v>
      </c>
      <c r="Q123" s="114">
        <f>-N123</f>
        <v>-83274.48</v>
      </c>
      <c r="R123" s="114"/>
      <c r="S123" s="114"/>
      <c r="T123" s="105"/>
      <c r="U123" s="105"/>
      <c r="V123" s="105"/>
    </row>
    <row r="124" spans="1:22" x14ac:dyDescent="0.25">
      <c r="A124" s="112"/>
      <c r="B124" s="265"/>
      <c r="C124" s="113"/>
      <c r="D124" s="113"/>
      <c r="E124" s="113"/>
      <c r="F124" s="239"/>
      <c r="G124" s="129"/>
      <c r="H124" s="113"/>
      <c r="I124" s="114"/>
      <c r="J124" s="114"/>
      <c r="K124" s="196"/>
      <c r="L124" s="222"/>
      <c r="M124" s="125"/>
      <c r="N124" s="114"/>
      <c r="O124" s="114"/>
      <c r="P124" s="114"/>
      <c r="Q124" s="114"/>
      <c r="R124" s="114"/>
      <c r="S124" s="114"/>
      <c r="T124" s="105"/>
      <c r="U124" s="105"/>
      <c r="V124" s="105"/>
    </row>
    <row r="125" spans="1:22" x14ac:dyDescent="0.25">
      <c r="A125" s="112"/>
      <c r="B125" s="265"/>
      <c r="C125" s="113" t="s">
        <v>296</v>
      </c>
      <c r="D125" s="113"/>
      <c r="E125" s="113"/>
      <c r="F125" s="239"/>
      <c r="G125" s="129">
        <f>'[15]JEV-GJ.'!$I$4481</f>
        <v>605907.75</v>
      </c>
      <c r="H125" s="113"/>
      <c r="I125" s="129"/>
      <c r="J125" s="114"/>
      <c r="K125" s="196"/>
      <c r="L125" s="222">
        <v>1060601000</v>
      </c>
      <c r="M125" s="125" t="s">
        <v>72</v>
      </c>
      <c r="N125" s="114">
        <v>605907.75</v>
      </c>
      <c r="O125" s="114"/>
      <c r="P125" s="114">
        <f t="shared" ref="P125:P129" si="13">N125</f>
        <v>605907.75</v>
      </c>
      <c r="Q125" s="114"/>
      <c r="R125" s="114"/>
      <c r="S125" s="114">
        <v>605907.75</v>
      </c>
      <c r="T125" s="105"/>
      <c r="U125" s="105"/>
      <c r="V125" s="105"/>
    </row>
    <row r="126" spans="1:22" x14ac:dyDescent="0.25">
      <c r="A126" s="112"/>
      <c r="B126" s="265"/>
      <c r="C126" s="113" t="s">
        <v>297</v>
      </c>
      <c r="D126" s="113">
        <v>-605907.75</v>
      </c>
      <c r="E126" s="113"/>
      <c r="F126" s="239"/>
      <c r="G126" s="129">
        <v>-605907.75</v>
      </c>
      <c r="H126" s="113"/>
      <c r="I126" s="129"/>
      <c r="J126" s="114"/>
      <c r="K126" s="196"/>
      <c r="L126" s="222"/>
      <c r="M126" s="125"/>
      <c r="N126" s="114"/>
      <c r="O126" s="114"/>
      <c r="P126" s="114">
        <v>-605907.75</v>
      </c>
      <c r="Q126" s="114"/>
      <c r="R126" s="114"/>
      <c r="S126" s="114">
        <v>-605907.75</v>
      </c>
      <c r="T126" s="105"/>
      <c r="U126" s="105"/>
      <c r="V126" s="105"/>
    </row>
    <row r="127" spans="1:22" ht="31.5" x14ac:dyDescent="0.25">
      <c r="A127" s="112"/>
      <c r="B127" s="265"/>
      <c r="C127" s="113" t="s">
        <v>294</v>
      </c>
      <c r="D127" s="113"/>
      <c r="E127" s="113"/>
      <c r="F127" s="239"/>
      <c r="G127" s="129">
        <v>27735</v>
      </c>
      <c r="H127" s="113" t="s">
        <v>53</v>
      </c>
      <c r="I127" s="129"/>
      <c r="J127" s="114">
        <v>27735</v>
      </c>
      <c r="K127" s="196">
        <v>27735</v>
      </c>
      <c r="L127" s="222"/>
      <c r="M127" s="125" t="s">
        <v>335</v>
      </c>
      <c r="N127" s="114">
        <v>27735</v>
      </c>
      <c r="O127" s="114"/>
      <c r="P127" s="114">
        <v>27735</v>
      </c>
      <c r="Q127" s="114"/>
      <c r="R127" s="114"/>
      <c r="S127" s="114"/>
      <c r="T127" s="105"/>
      <c r="U127" s="105"/>
      <c r="V127" s="105"/>
    </row>
    <row r="128" spans="1:22" x14ac:dyDescent="0.25">
      <c r="A128" s="112"/>
      <c r="B128" s="265"/>
      <c r="C128" s="113" t="s">
        <v>294</v>
      </c>
      <c r="D128" s="113"/>
      <c r="E128" s="113"/>
      <c r="F128" s="239"/>
      <c r="G128" s="129">
        <v>34598.18</v>
      </c>
      <c r="H128" s="113" t="s">
        <v>334</v>
      </c>
      <c r="I128" s="129"/>
      <c r="J128" s="114">
        <v>34598.18</v>
      </c>
      <c r="K128" s="196">
        <v>34598.18</v>
      </c>
      <c r="L128" s="222"/>
      <c r="M128" s="125" t="s">
        <v>336</v>
      </c>
      <c r="N128" s="114">
        <v>34598.18</v>
      </c>
      <c r="O128" s="114"/>
      <c r="P128" s="114">
        <v>34598.18</v>
      </c>
      <c r="Q128" s="114"/>
      <c r="R128" s="114"/>
      <c r="S128" s="114"/>
      <c r="T128" s="105"/>
      <c r="U128" s="105"/>
      <c r="V128" s="105"/>
    </row>
    <row r="129" spans="1:22" x14ac:dyDescent="0.25">
      <c r="A129" s="112"/>
      <c r="B129" s="265">
        <v>5021499000</v>
      </c>
      <c r="C129" s="113" t="s">
        <v>198</v>
      </c>
      <c r="D129" s="113"/>
      <c r="E129" s="113"/>
      <c r="F129" s="239"/>
      <c r="G129" s="129">
        <v>-503000</v>
      </c>
      <c r="H129" s="113" t="s">
        <v>34</v>
      </c>
      <c r="I129" s="114">
        <f>G129*-1-J129</f>
        <v>503000</v>
      </c>
      <c r="J129" s="114"/>
      <c r="K129" s="196">
        <f>G129</f>
        <v>-503000</v>
      </c>
      <c r="L129" s="222">
        <v>2010101000</v>
      </c>
      <c r="M129" s="125" t="s">
        <v>25</v>
      </c>
      <c r="N129" s="114"/>
      <c r="O129" s="114">
        <f>I129</f>
        <v>503000</v>
      </c>
      <c r="P129" s="114">
        <f t="shared" si="13"/>
        <v>0</v>
      </c>
      <c r="Q129" s="114">
        <f>O129</f>
        <v>503000</v>
      </c>
      <c r="R129" s="114"/>
      <c r="S129" s="114"/>
      <c r="T129" s="105"/>
      <c r="U129" s="105"/>
      <c r="V129" s="105"/>
    </row>
    <row r="130" spans="1:22" ht="47.25" x14ac:dyDescent="0.25">
      <c r="A130" s="112"/>
      <c r="B130" s="265">
        <v>2010101000</v>
      </c>
      <c r="C130" s="113" t="s">
        <v>280</v>
      </c>
      <c r="D130" s="113"/>
      <c r="E130" s="113"/>
      <c r="F130" s="239"/>
      <c r="G130" s="129">
        <v>447376.38</v>
      </c>
      <c r="H130" s="113"/>
      <c r="I130" s="114"/>
      <c r="J130" s="114"/>
      <c r="K130" s="196"/>
      <c r="L130" s="222">
        <v>2010101000</v>
      </c>
      <c r="M130" s="125" t="s">
        <v>25</v>
      </c>
      <c r="N130" s="114">
        <f>G130</f>
        <v>447376.38</v>
      </c>
      <c r="O130" s="114"/>
      <c r="P130" s="114"/>
      <c r="Q130" s="114">
        <f>N130*-1</f>
        <v>-447376.38</v>
      </c>
      <c r="R130" s="114"/>
      <c r="S130" s="114">
        <f>+N130</f>
        <v>447376.38</v>
      </c>
      <c r="T130" s="105"/>
      <c r="U130" s="105"/>
      <c r="V130" s="105"/>
    </row>
    <row r="131" spans="1:22" ht="31.5" x14ac:dyDescent="0.25">
      <c r="A131" s="112"/>
      <c r="B131" s="265">
        <v>4069999000</v>
      </c>
      <c r="C131" s="113" t="s">
        <v>212</v>
      </c>
      <c r="D131" s="113"/>
      <c r="E131" s="113"/>
      <c r="F131" s="239">
        <f>IFERROR(VLOOKUP(B131,'WORKING PAPER FC1'!$I$11:$J$12,2,FALSE),0)</f>
        <v>0</v>
      </c>
      <c r="G131" s="129">
        <f>-45000-300</f>
        <v>-45300</v>
      </c>
      <c r="H131" s="113"/>
      <c r="I131" s="114"/>
      <c r="J131" s="114"/>
      <c r="K131" s="196"/>
      <c r="L131" s="222">
        <v>1010202016</v>
      </c>
      <c r="M131" s="125" t="s">
        <v>173</v>
      </c>
      <c r="N131" s="114"/>
      <c r="O131" s="114">
        <f>G131*-1</f>
        <v>45300</v>
      </c>
      <c r="P131" s="114">
        <f>-O131</f>
        <v>-45300</v>
      </c>
      <c r="Q131" s="114"/>
      <c r="R131" s="114"/>
      <c r="S131" s="114">
        <v>-45300</v>
      </c>
      <c r="T131" s="105"/>
      <c r="U131" s="105"/>
      <c r="V131" s="105"/>
    </row>
    <row r="132" spans="1:22" ht="31.5" x14ac:dyDescent="0.25">
      <c r="A132" s="112"/>
      <c r="B132" s="265">
        <v>2020102001</v>
      </c>
      <c r="C132" s="113" t="s">
        <v>232</v>
      </c>
      <c r="D132" s="113"/>
      <c r="E132" s="113"/>
      <c r="F132" s="239">
        <f>IFERROR(VLOOKUP(B132,'WORKING PAPER FC1'!$I$11:$J$12,2,FALSE),0)</f>
        <v>0</v>
      </c>
      <c r="G132" s="129">
        <f>60764.22</f>
        <v>60764.22</v>
      </c>
      <c r="H132" s="113" t="s">
        <v>230</v>
      </c>
      <c r="I132" s="114">
        <f>G132</f>
        <v>60764.22</v>
      </c>
      <c r="J132" s="114"/>
      <c r="K132" s="196">
        <f>-I132</f>
        <v>-60764.22</v>
      </c>
      <c r="L132" s="222">
        <v>5010102000</v>
      </c>
      <c r="M132" s="125" t="s">
        <v>231</v>
      </c>
      <c r="N132" s="114"/>
      <c r="O132" s="114">
        <f>G132</f>
        <v>60764.22</v>
      </c>
      <c r="P132" s="114"/>
      <c r="Q132" s="114">
        <f>-O132</f>
        <v>-60764.22</v>
      </c>
      <c r="R132" s="114"/>
      <c r="S132" s="114"/>
      <c r="T132" s="105"/>
      <c r="U132" s="105"/>
      <c r="V132" s="105"/>
    </row>
    <row r="133" spans="1:22" ht="31.5" x14ac:dyDescent="0.25">
      <c r="A133" s="112"/>
      <c r="B133" s="265">
        <v>2020103002</v>
      </c>
      <c r="C133" s="113" t="s">
        <v>279</v>
      </c>
      <c r="D133" s="113"/>
      <c r="E133" s="113"/>
      <c r="F133" s="239"/>
      <c r="G133" s="129">
        <v>63102.31</v>
      </c>
      <c r="H133" s="113"/>
      <c r="I133" s="114"/>
      <c r="J133" s="114"/>
      <c r="K133" s="196"/>
      <c r="L133" s="222">
        <v>2020103002</v>
      </c>
      <c r="M133" s="113" t="s">
        <v>234</v>
      </c>
      <c r="N133" s="114">
        <f>G133</f>
        <v>63102.31</v>
      </c>
      <c r="O133" s="114"/>
      <c r="P133" s="114"/>
      <c r="Q133" s="114">
        <f>-N133</f>
        <v>-63102.31</v>
      </c>
      <c r="R133" s="114"/>
      <c r="S133" s="114">
        <v>63102.31</v>
      </c>
      <c r="T133" s="105"/>
      <c r="U133" s="105"/>
      <c r="V133" s="105"/>
    </row>
    <row r="134" spans="1:22" ht="31.5" x14ac:dyDescent="0.25">
      <c r="A134" s="112"/>
      <c r="B134" s="265">
        <v>2020103002</v>
      </c>
      <c r="C134" s="113" t="s">
        <v>233</v>
      </c>
      <c r="D134" s="113"/>
      <c r="E134" s="113"/>
      <c r="F134" s="239">
        <f>IFERROR(VLOOKUP(B134,'WORKING PAPER FC1'!$I$11:$J$12,2,FALSE),0)</f>
        <v>0</v>
      </c>
      <c r="G134" s="129">
        <f>3592.5</f>
        <v>3592.5</v>
      </c>
      <c r="H134" s="113" t="s">
        <v>234</v>
      </c>
      <c r="I134" s="114">
        <f>G134</f>
        <v>3592.5</v>
      </c>
      <c r="J134" s="114"/>
      <c r="K134" s="196">
        <f>-G134</f>
        <v>-3592.5</v>
      </c>
      <c r="L134" s="222">
        <v>5010102000</v>
      </c>
      <c r="M134" s="125" t="s">
        <v>231</v>
      </c>
      <c r="N134" s="114"/>
      <c r="O134" s="114">
        <f>G134</f>
        <v>3592.5</v>
      </c>
      <c r="P134" s="114"/>
      <c r="Q134" s="114">
        <f>-O134</f>
        <v>-3592.5</v>
      </c>
      <c r="R134" s="114"/>
      <c r="S134" s="114"/>
      <c r="T134" s="105"/>
      <c r="U134" s="105"/>
      <c r="V134" s="105"/>
    </row>
    <row r="135" spans="1:22" x14ac:dyDescent="0.25">
      <c r="A135" s="112"/>
      <c r="B135" s="265">
        <v>2020103001</v>
      </c>
      <c r="C135" s="113" t="s">
        <v>235</v>
      </c>
      <c r="D135" s="113"/>
      <c r="E135" s="113"/>
      <c r="F135" s="239">
        <f>IFERROR(VLOOKUP(B135,'WORKING PAPER FC1'!$I$11:$J$12,2,FALSE),0)</f>
        <v>0</v>
      </c>
      <c r="G135" s="129">
        <v>2500</v>
      </c>
      <c r="H135" s="113" t="s">
        <v>236</v>
      </c>
      <c r="I135" s="114">
        <f>G135</f>
        <v>2500</v>
      </c>
      <c r="J135" s="114"/>
      <c r="K135" s="196">
        <f>-G135</f>
        <v>-2500</v>
      </c>
      <c r="L135" s="222">
        <v>5010102000</v>
      </c>
      <c r="M135" s="125" t="s">
        <v>231</v>
      </c>
      <c r="N135" s="114"/>
      <c r="O135" s="114">
        <f>G135</f>
        <v>2500</v>
      </c>
      <c r="P135" s="114"/>
      <c r="Q135" s="114">
        <f>-O135</f>
        <v>-2500</v>
      </c>
      <c r="R135" s="114"/>
      <c r="S135" s="114"/>
      <c r="T135" s="105"/>
      <c r="U135" s="105"/>
      <c r="V135" s="105"/>
    </row>
    <row r="136" spans="1:22" x14ac:dyDescent="0.25">
      <c r="A136" s="112"/>
      <c r="B136" s="265">
        <v>2020103001</v>
      </c>
      <c r="C136" s="113" t="s">
        <v>237</v>
      </c>
      <c r="D136" s="113"/>
      <c r="E136" s="113"/>
      <c r="F136" s="239">
        <f>IFERROR(VLOOKUP(B136,'WORKING PAPER FC1'!$I$11:$J$12,2,FALSE),0)</f>
        <v>0</v>
      </c>
      <c r="G136" s="129">
        <v>4600</v>
      </c>
      <c r="H136" s="113" t="s">
        <v>236</v>
      </c>
      <c r="I136" s="114">
        <v>4600</v>
      </c>
      <c r="J136" s="114"/>
      <c r="K136" s="196">
        <f>-G136</f>
        <v>-4600</v>
      </c>
      <c r="L136" s="222">
        <v>5010302001</v>
      </c>
      <c r="M136" s="125" t="s">
        <v>238</v>
      </c>
      <c r="N136" s="114"/>
      <c r="O136" s="114">
        <f>G136</f>
        <v>4600</v>
      </c>
      <c r="P136" s="114"/>
      <c r="Q136" s="114">
        <f>-O136</f>
        <v>-4600</v>
      </c>
      <c r="R136" s="114"/>
      <c r="S136" s="114"/>
      <c r="T136" s="105"/>
      <c r="U136" s="105"/>
      <c r="V136" s="105"/>
    </row>
    <row r="137" spans="1:22" ht="31.5" x14ac:dyDescent="0.25">
      <c r="A137" s="112"/>
      <c r="B137" s="265">
        <v>2020104000</v>
      </c>
      <c r="C137" s="113" t="s">
        <v>239</v>
      </c>
      <c r="D137" s="113"/>
      <c r="E137" s="113"/>
      <c r="F137" s="239">
        <f>IFERROR(VLOOKUP(B137,'WORKING PAPER FC1'!$I$11:$J$12,2,FALSE),0)</f>
        <v>0</v>
      </c>
      <c r="G137" s="129">
        <f>92570.12+13503.16</f>
        <v>106073.28</v>
      </c>
      <c r="H137" s="113" t="s">
        <v>240</v>
      </c>
      <c r="I137" s="114">
        <f>G137</f>
        <v>106073.28</v>
      </c>
      <c r="J137" s="114"/>
      <c r="K137" s="196">
        <f>-G137</f>
        <v>-106073.28</v>
      </c>
      <c r="L137" s="222">
        <v>5010102000</v>
      </c>
      <c r="M137" s="125" t="s">
        <v>231</v>
      </c>
      <c r="N137" s="114"/>
      <c r="O137" s="114">
        <f>G137</f>
        <v>106073.28</v>
      </c>
      <c r="P137" s="114"/>
      <c r="Q137" s="114">
        <f>-O137</f>
        <v>-106073.28</v>
      </c>
      <c r="R137" s="114"/>
      <c r="S137" s="114"/>
      <c r="T137" s="105"/>
      <c r="U137" s="105"/>
      <c r="V137" s="105"/>
    </row>
    <row r="138" spans="1:22" ht="31.5" x14ac:dyDescent="0.25">
      <c r="A138" s="112"/>
      <c r="B138" s="265">
        <v>5030104000</v>
      </c>
      <c r="C138" s="113" t="s">
        <v>264</v>
      </c>
      <c r="D138" s="113"/>
      <c r="E138" s="113"/>
      <c r="F138" s="239"/>
      <c r="G138" s="129">
        <v>-30</v>
      </c>
      <c r="H138" s="113"/>
      <c r="I138" s="114"/>
      <c r="J138" s="114"/>
      <c r="K138" s="196"/>
      <c r="L138" s="222">
        <v>1010202024</v>
      </c>
      <c r="M138" s="125" t="s">
        <v>265</v>
      </c>
      <c r="N138" s="114"/>
      <c r="O138" s="114">
        <v>30</v>
      </c>
      <c r="P138" s="114"/>
      <c r="Q138" s="114">
        <v>30</v>
      </c>
      <c r="R138" s="114"/>
      <c r="S138" s="114">
        <v>-30</v>
      </c>
      <c r="T138" s="105"/>
      <c r="U138" s="105"/>
      <c r="V138" s="105"/>
    </row>
    <row r="139" spans="1:22" ht="31.5" x14ac:dyDescent="0.25">
      <c r="A139" s="112"/>
      <c r="B139" s="265">
        <v>1039903000</v>
      </c>
      <c r="C139" s="113" t="s">
        <v>273</v>
      </c>
      <c r="D139" s="113"/>
      <c r="E139" s="113"/>
      <c r="F139" s="239"/>
      <c r="G139" s="129">
        <v>26114126.309999999</v>
      </c>
      <c r="H139" s="113"/>
      <c r="I139" s="114"/>
      <c r="J139" s="114"/>
      <c r="K139" s="196"/>
      <c r="L139" s="192">
        <v>1039903000</v>
      </c>
      <c r="M139" s="125" t="s">
        <v>276</v>
      </c>
      <c r="N139" s="114">
        <f>G139</f>
        <v>26114126.309999999</v>
      </c>
      <c r="O139" s="114"/>
      <c r="P139" s="114">
        <f>N139</f>
        <v>26114126.309999999</v>
      </c>
      <c r="Q139" s="114"/>
      <c r="R139" s="114"/>
      <c r="S139" s="114"/>
      <c r="T139" s="105"/>
      <c r="U139" s="105"/>
      <c r="V139" s="105"/>
    </row>
    <row r="140" spans="1:22" ht="31.5" x14ac:dyDescent="0.25">
      <c r="A140" s="112"/>
      <c r="B140" s="265">
        <v>1990202000</v>
      </c>
      <c r="C140" s="113" t="s">
        <v>274</v>
      </c>
      <c r="D140" s="113"/>
      <c r="E140" s="113"/>
      <c r="F140" s="113"/>
      <c r="G140" s="129">
        <v>5438.57</v>
      </c>
      <c r="H140" s="113"/>
      <c r="I140" s="114"/>
      <c r="J140" s="114"/>
      <c r="K140" s="196"/>
      <c r="L140" s="192">
        <v>1990202000</v>
      </c>
      <c r="M140" s="125" t="s">
        <v>275</v>
      </c>
      <c r="N140" s="114">
        <f>G140</f>
        <v>5438.57</v>
      </c>
      <c r="O140" s="114"/>
      <c r="P140" s="114">
        <f>N140</f>
        <v>5438.57</v>
      </c>
      <c r="Q140" s="114"/>
      <c r="R140" s="114"/>
      <c r="S140" s="114"/>
      <c r="T140" s="105"/>
      <c r="U140" s="105"/>
      <c r="V140" s="105"/>
    </row>
    <row r="141" spans="1:22" ht="47.25" x14ac:dyDescent="0.25">
      <c r="A141" s="112"/>
      <c r="B141" s="265">
        <v>2040104000</v>
      </c>
      <c r="C141" s="113" t="s">
        <v>290</v>
      </c>
      <c r="D141" s="113"/>
      <c r="E141" s="113"/>
      <c r="F141" s="113"/>
      <c r="G141" s="129">
        <v>-8699.83</v>
      </c>
      <c r="H141" s="113" t="s">
        <v>291</v>
      </c>
      <c r="I141" s="114">
        <v>8699.83</v>
      </c>
      <c r="J141" s="114"/>
      <c r="K141" s="196">
        <v>-8699.83</v>
      </c>
      <c r="L141" s="192">
        <v>2040104000</v>
      </c>
      <c r="M141" s="125" t="s">
        <v>292</v>
      </c>
      <c r="N141" s="114"/>
      <c r="O141" s="114">
        <v>8699.83</v>
      </c>
      <c r="P141" s="114"/>
      <c r="Q141" s="114">
        <f>O141</f>
        <v>8699.83</v>
      </c>
      <c r="R141" s="114"/>
      <c r="S141" s="114"/>
      <c r="T141" s="105"/>
      <c r="U141" s="105"/>
      <c r="V141" s="105"/>
    </row>
    <row r="142" spans="1:22" x14ac:dyDescent="0.25">
      <c r="A142" s="112"/>
      <c r="B142" s="265"/>
      <c r="C142" s="113" t="s">
        <v>201</v>
      </c>
      <c r="D142" s="113"/>
      <c r="E142" s="113"/>
      <c r="F142" s="113"/>
      <c r="G142" s="129">
        <v>4200</v>
      </c>
      <c r="H142" s="113"/>
      <c r="I142" s="114"/>
      <c r="J142" s="114"/>
      <c r="K142" s="196"/>
      <c r="L142" s="192"/>
      <c r="M142" s="125" t="s">
        <v>190</v>
      </c>
      <c r="N142" s="114">
        <v>4200</v>
      </c>
      <c r="O142" s="114"/>
      <c r="P142" s="114"/>
      <c r="Q142" s="114">
        <v>-4200</v>
      </c>
      <c r="R142" s="114"/>
      <c r="S142" s="114">
        <v>4200</v>
      </c>
      <c r="T142" s="105"/>
      <c r="U142" s="105"/>
      <c r="V142" s="105"/>
    </row>
    <row r="143" spans="1:22" ht="31.5" x14ac:dyDescent="0.25">
      <c r="A143" s="112"/>
      <c r="B143" s="265"/>
      <c r="C143" s="113" t="s">
        <v>207</v>
      </c>
      <c r="D143" s="113"/>
      <c r="E143" s="113"/>
      <c r="F143" s="113"/>
      <c r="G143" s="129">
        <v>-1723.1999999999971</v>
      </c>
      <c r="H143" s="113"/>
      <c r="I143" s="114"/>
      <c r="J143" s="114"/>
      <c r="K143" s="196"/>
      <c r="L143" s="192"/>
      <c r="M143" s="125" t="s">
        <v>173</v>
      </c>
      <c r="N143" s="114"/>
      <c r="O143" s="114">
        <v>1723.2</v>
      </c>
      <c r="P143" s="114"/>
      <c r="Q143" s="114">
        <v>1723.2</v>
      </c>
      <c r="R143" s="114"/>
      <c r="S143" s="114">
        <v>-1723.1999999999971</v>
      </c>
      <c r="T143" s="105"/>
      <c r="U143" s="105"/>
      <c r="V143" s="105"/>
    </row>
    <row r="144" spans="1:22" ht="31.5" x14ac:dyDescent="0.25">
      <c r="A144" s="112"/>
      <c r="B144" s="265"/>
      <c r="C144" s="113" t="s">
        <v>227</v>
      </c>
      <c r="D144" s="113"/>
      <c r="E144" s="113"/>
      <c r="F144" s="113"/>
      <c r="G144" s="129">
        <v>-600</v>
      </c>
      <c r="H144" s="113"/>
      <c r="I144" s="114"/>
      <c r="J144" s="114"/>
      <c r="K144" s="196"/>
      <c r="L144" s="192"/>
      <c r="M144" s="125" t="s">
        <v>190</v>
      </c>
      <c r="N144" s="114">
        <v>600</v>
      </c>
      <c r="O144" s="114"/>
      <c r="P144" s="114"/>
      <c r="Q144" s="114">
        <v>-600</v>
      </c>
      <c r="R144" s="114"/>
      <c r="S144" s="114">
        <v>-600</v>
      </c>
      <c r="T144" s="105"/>
      <c r="U144" s="105"/>
      <c r="V144" s="105"/>
    </row>
    <row r="145" spans="1:22" ht="31.5" x14ac:dyDescent="0.25">
      <c r="A145" s="112"/>
      <c r="B145" s="265"/>
      <c r="C145" s="113" t="s">
        <v>227</v>
      </c>
      <c r="D145" s="113"/>
      <c r="E145" s="113"/>
      <c r="F145" s="113"/>
      <c r="G145" s="129">
        <v>600</v>
      </c>
      <c r="H145" s="113"/>
      <c r="I145" s="114"/>
      <c r="J145" s="114"/>
      <c r="K145" s="196"/>
      <c r="L145" s="192"/>
      <c r="M145" s="125" t="s">
        <v>226</v>
      </c>
      <c r="N145" s="114"/>
      <c r="O145" s="114">
        <v>600</v>
      </c>
      <c r="P145" s="114"/>
      <c r="Q145" s="114">
        <v>600</v>
      </c>
      <c r="R145" s="114"/>
      <c r="S145" s="114">
        <v>600</v>
      </c>
      <c r="T145" s="105"/>
      <c r="U145" s="105"/>
      <c r="V145" s="105"/>
    </row>
    <row r="146" spans="1:22" ht="31.5" x14ac:dyDescent="0.25">
      <c r="A146" s="112"/>
      <c r="B146" s="265"/>
      <c r="C146" s="113" t="s">
        <v>241</v>
      </c>
      <c r="D146" s="113"/>
      <c r="E146" s="113"/>
      <c r="F146" s="113"/>
      <c r="G146" s="129">
        <v>14217.17</v>
      </c>
      <c r="H146" s="113"/>
      <c r="I146" s="114"/>
      <c r="J146" s="114"/>
      <c r="K146" s="196"/>
      <c r="L146" s="192"/>
      <c r="M146" s="125" t="s">
        <v>47</v>
      </c>
      <c r="N146" s="114">
        <v>14217.17</v>
      </c>
      <c r="O146" s="114"/>
      <c r="P146" s="114"/>
      <c r="Q146" s="114">
        <v>-14217.17</v>
      </c>
      <c r="R146" s="114"/>
      <c r="S146" s="114">
        <v>14217.17</v>
      </c>
      <c r="T146" s="105"/>
      <c r="U146" s="105"/>
      <c r="V146" s="105"/>
    </row>
    <row r="147" spans="1:22" ht="31.5" x14ac:dyDescent="0.25">
      <c r="A147" s="112"/>
      <c r="B147" s="265"/>
      <c r="C147" s="113" t="s">
        <v>266</v>
      </c>
      <c r="D147" s="113"/>
      <c r="E147" s="113"/>
      <c r="F147" s="113"/>
      <c r="G147" s="129">
        <v>2099590.04</v>
      </c>
      <c r="H147" s="113"/>
      <c r="I147" s="114"/>
      <c r="J147" s="114"/>
      <c r="K147" s="196"/>
      <c r="L147" s="192"/>
      <c r="M147" s="125" t="s">
        <v>267</v>
      </c>
      <c r="N147" s="114">
        <v>2099590.04</v>
      </c>
      <c r="O147" s="114"/>
      <c r="P147" s="114"/>
      <c r="Q147" s="114">
        <v>-2099590.04</v>
      </c>
      <c r="R147" s="114"/>
      <c r="S147" s="114">
        <v>2099590.04</v>
      </c>
      <c r="T147" s="105"/>
      <c r="U147" s="105"/>
      <c r="V147" s="105"/>
    </row>
    <row r="148" spans="1:22" ht="63" x14ac:dyDescent="0.25">
      <c r="A148" s="112"/>
      <c r="B148" s="265"/>
      <c r="C148" s="113" t="s">
        <v>281</v>
      </c>
      <c r="D148" s="113"/>
      <c r="E148" s="113"/>
      <c r="F148" s="113"/>
      <c r="G148" s="129">
        <v>13270.88</v>
      </c>
      <c r="H148" s="113"/>
      <c r="I148" s="114"/>
      <c r="J148" s="114"/>
      <c r="K148" s="196"/>
      <c r="L148" s="192"/>
      <c r="M148" s="125" t="s">
        <v>128</v>
      </c>
      <c r="N148" s="114">
        <v>13270.88</v>
      </c>
      <c r="O148" s="114"/>
      <c r="P148" s="114"/>
      <c r="Q148" s="114">
        <v>-13270.88</v>
      </c>
      <c r="R148" s="114"/>
      <c r="S148" s="114">
        <v>13270.88</v>
      </c>
      <c r="T148" s="105"/>
      <c r="U148" s="105"/>
      <c r="V148" s="105"/>
    </row>
    <row r="149" spans="1:22" ht="47.25" x14ac:dyDescent="0.25">
      <c r="A149" s="112"/>
      <c r="B149" s="265"/>
      <c r="C149" s="113" t="s">
        <v>287</v>
      </c>
      <c r="D149" s="113"/>
      <c r="E149" s="113"/>
      <c r="F149" s="113"/>
      <c r="G149" s="129">
        <v>880</v>
      </c>
      <c r="H149" s="113"/>
      <c r="I149" s="114"/>
      <c r="J149" s="114"/>
      <c r="K149" s="196"/>
      <c r="L149" s="192"/>
      <c r="M149" s="125" t="s">
        <v>286</v>
      </c>
      <c r="N149" s="114">
        <v>880</v>
      </c>
      <c r="O149" s="114"/>
      <c r="P149" s="114"/>
      <c r="Q149" s="114">
        <v>-880</v>
      </c>
      <c r="R149" s="114"/>
      <c r="S149" s="114">
        <v>880</v>
      </c>
      <c r="T149" s="105"/>
      <c r="U149" s="105"/>
      <c r="V149" s="105"/>
    </row>
    <row r="150" spans="1:22" x14ac:dyDescent="0.25">
      <c r="A150" s="112"/>
      <c r="B150" s="265"/>
      <c r="C150" s="113" t="s">
        <v>288</v>
      </c>
      <c r="D150" s="113"/>
      <c r="E150" s="113"/>
      <c r="F150" s="113"/>
      <c r="G150" s="129">
        <v>3560</v>
      </c>
      <c r="H150" s="113"/>
      <c r="I150" s="114"/>
      <c r="J150" s="114"/>
      <c r="K150" s="196"/>
      <c r="L150" s="192"/>
      <c r="M150" s="125" t="s">
        <v>289</v>
      </c>
      <c r="N150" s="114">
        <v>3560</v>
      </c>
      <c r="O150" s="114"/>
      <c r="P150" s="114"/>
      <c r="Q150" s="114">
        <v>-3560</v>
      </c>
      <c r="R150" s="114"/>
      <c r="S150" s="114">
        <v>3560</v>
      </c>
      <c r="T150" s="105"/>
      <c r="U150" s="105"/>
      <c r="V150" s="105"/>
    </row>
    <row r="151" spans="1:22" ht="31.5" x14ac:dyDescent="0.25">
      <c r="A151" s="112"/>
      <c r="B151" s="265"/>
      <c r="C151" s="113" t="s">
        <v>298</v>
      </c>
      <c r="D151" s="113"/>
      <c r="E151" s="113"/>
      <c r="F151" s="113"/>
      <c r="G151" s="129">
        <v>2500</v>
      </c>
      <c r="H151" s="113"/>
      <c r="I151" s="114"/>
      <c r="J151" s="114"/>
      <c r="K151" s="196"/>
      <c r="L151" s="192"/>
      <c r="M151" s="125" t="s">
        <v>312</v>
      </c>
      <c r="N151" s="114">
        <v>2500</v>
      </c>
      <c r="O151" s="114"/>
      <c r="P151" s="114">
        <v>2500</v>
      </c>
      <c r="Q151" s="114"/>
      <c r="R151" s="114"/>
      <c r="S151" s="114">
        <v>2500</v>
      </c>
      <c r="T151" s="105"/>
      <c r="U151" s="105"/>
      <c r="V151" s="105"/>
    </row>
    <row r="152" spans="1:22" ht="31.5" x14ac:dyDescent="0.25">
      <c r="A152" s="112"/>
      <c r="B152" s="265"/>
      <c r="C152" s="113" t="s">
        <v>299</v>
      </c>
      <c r="D152" s="113"/>
      <c r="E152" s="113"/>
      <c r="F152" s="113"/>
      <c r="G152" s="129">
        <v>3154.13</v>
      </c>
      <c r="H152" s="113"/>
      <c r="I152" s="114"/>
      <c r="J152" s="114"/>
      <c r="K152" s="196"/>
      <c r="L152" s="192"/>
      <c r="M152" s="125" t="s">
        <v>73</v>
      </c>
      <c r="N152" s="114">
        <v>3154.1300000000047</v>
      </c>
      <c r="O152" s="114"/>
      <c r="P152" s="114"/>
      <c r="Q152" s="114">
        <v>-3154.1300000000047</v>
      </c>
      <c r="R152" s="114"/>
      <c r="S152" s="114">
        <v>3154.13</v>
      </c>
      <c r="T152" s="105"/>
      <c r="U152" s="105"/>
      <c r="V152" s="105"/>
    </row>
    <row r="153" spans="1:22" ht="31.5" x14ac:dyDescent="0.25">
      <c r="A153" s="112"/>
      <c r="B153" s="265"/>
      <c r="C153" s="113" t="s">
        <v>300</v>
      </c>
      <c r="D153" s="113"/>
      <c r="E153" s="113"/>
      <c r="F153" s="113"/>
      <c r="G153" s="129">
        <v>306631.12</v>
      </c>
      <c r="H153" s="113"/>
      <c r="I153" s="114"/>
      <c r="J153" s="114"/>
      <c r="K153" s="196"/>
      <c r="L153" s="192"/>
      <c r="M153" s="125" t="s">
        <v>73</v>
      </c>
      <c r="N153" s="114">
        <v>306631.12</v>
      </c>
      <c r="O153" s="114"/>
      <c r="P153" s="114"/>
      <c r="Q153" s="114">
        <v>-306631.12</v>
      </c>
      <c r="R153" s="114"/>
      <c r="S153" s="114">
        <v>306631.12</v>
      </c>
      <c r="T153" s="105">
        <f>S153*2</f>
        <v>613262.24</v>
      </c>
      <c r="U153" s="105"/>
      <c r="V153" s="105"/>
    </row>
    <row r="154" spans="1:22" ht="31.5" x14ac:dyDescent="0.25">
      <c r="A154" s="112"/>
      <c r="B154" s="265"/>
      <c r="C154" s="113" t="s">
        <v>301</v>
      </c>
      <c r="D154" s="113"/>
      <c r="E154" s="113"/>
      <c r="F154" s="113"/>
      <c r="G154" s="129">
        <v>-26114126.309999999</v>
      </c>
      <c r="H154" s="113"/>
      <c r="I154" s="114"/>
      <c r="J154" s="114"/>
      <c r="K154" s="196"/>
      <c r="L154" s="192"/>
      <c r="M154" s="125" t="s">
        <v>313</v>
      </c>
      <c r="N154" s="114"/>
      <c r="O154" s="114">
        <v>26114126.309999999</v>
      </c>
      <c r="P154" s="114">
        <v>-26114126.309999999</v>
      </c>
      <c r="Q154" s="114"/>
      <c r="R154" s="114"/>
      <c r="S154" s="114"/>
      <c r="T154" s="105"/>
      <c r="U154" s="105"/>
      <c r="V154" s="105"/>
    </row>
    <row r="155" spans="1:22" ht="31.5" x14ac:dyDescent="0.25">
      <c r="A155" s="112"/>
      <c r="B155" s="265"/>
      <c r="C155" s="113" t="s">
        <v>302</v>
      </c>
      <c r="D155" s="113"/>
      <c r="E155" s="113"/>
      <c r="F155" s="113"/>
      <c r="G155" s="129">
        <v>-27735</v>
      </c>
      <c r="H155" s="113"/>
      <c r="I155" s="114"/>
      <c r="J155" s="114"/>
      <c r="K155" s="196"/>
      <c r="L155" s="192"/>
      <c r="M155" s="125" t="s">
        <v>295</v>
      </c>
      <c r="N155" s="114"/>
      <c r="O155" s="114">
        <v>27735</v>
      </c>
      <c r="P155" s="114">
        <v>-27735</v>
      </c>
      <c r="Q155" s="114"/>
      <c r="R155" s="114"/>
      <c r="S155" s="114"/>
      <c r="T155" s="105"/>
      <c r="U155" s="105"/>
      <c r="V155" s="105"/>
    </row>
    <row r="156" spans="1:22" ht="31.5" x14ac:dyDescent="0.25">
      <c r="A156" s="112"/>
      <c r="B156" s="265"/>
      <c r="C156" s="113" t="s">
        <v>303</v>
      </c>
      <c r="D156" s="113"/>
      <c r="E156" s="113"/>
      <c r="F156" s="113"/>
      <c r="G156" s="129">
        <v>-34598.18</v>
      </c>
      <c r="H156" s="113"/>
      <c r="I156" s="114"/>
      <c r="J156" s="114"/>
      <c r="K156" s="196"/>
      <c r="L156" s="192"/>
      <c r="M156" s="125" t="s">
        <v>282</v>
      </c>
      <c r="N156" s="114"/>
      <c r="O156" s="114">
        <v>34598.18</v>
      </c>
      <c r="P156" s="114">
        <f>G156</f>
        <v>-34598.18</v>
      </c>
      <c r="Q156" s="114"/>
      <c r="R156" s="114"/>
      <c r="S156" s="114"/>
      <c r="T156" s="105"/>
      <c r="U156" s="105"/>
      <c r="V156" s="105"/>
    </row>
    <row r="157" spans="1:22" ht="31.5" x14ac:dyDescent="0.25">
      <c r="A157" s="112"/>
      <c r="B157" s="265"/>
      <c r="C157" s="113" t="s">
        <v>304</v>
      </c>
      <c r="D157" s="113"/>
      <c r="E157" s="113"/>
      <c r="F157" s="113"/>
      <c r="G157" s="129">
        <v>-5438.57</v>
      </c>
      <c r="H157" s="113"/>
      <c r="I157" s="114"/>
      <c r="J157" s="114"/>
      <c r="K157" s="196"/>
      <c r="L157" s="192"/>
      <c r="M157" s="125" t="s">
        <v>275</v>
      </c>
      <c r="N157" s="114"/>
      <c r="O157" s="114">
        <v>5438.57</v>
      </c>
      <c r="P157" s="114">
        <v>-5438.57</v>
      </c>
      <c r="Q157" s="114"/>
      <c r="R157" s="114"/>
      <c r="S157" s="114"/>
      <c r="T157" s="105"/>
      <c r="U157" s="105"/>
      <c r="V157" s="105"/>
    </row>
    <row r="158" spans="1:22" ht="31.5" x14ac:dyDescent="0.25">
      <c r="A158" s="112"/>
      <c r="B158" s="265"/>
      <c r="C158" s="113" t="s">
        <v>305</v>
      </c>
      <c r="D158" s="113"/>
      <c r="E158" s="113"/>
      <c r="F158" s="113"/>
      <c r="G158" s="129">
        <v>214160.63</v>
      </c>
      <c r="H158" s="113"/>
      <c r="I158" s="114"/>
      <c r="J158" s="114"/>
      <c r="K158" s="196"/>
      <c r="L158" s="192"/>
      <c r="M158" s="125" t="s">
        <v>313</v>
      </c>
      <c r="N158" s="114">
        <v>214160.63</v>
      </c>
      <c r="O158" s="114"/>
      <c r="P158" s="114">
        <v>214160.63</v>
      </c>
      <c r="Q158" s="114"/>
      <c r="R158" s="114"/>
      <c r="S158" s="114">
        <v>214160.63</v>
      </c>
      <c r="T158" s="105"/>
      <c r="U158" s="105"/>
      <c r="V158" s="105"/>
    </row>
    <row r="159" spans="1:22" ht="31.5" x14ac:dyDescent="0.25">
      <c r="A159" s="112"/>
      <c r="B159" s="265"/>
      <c r="C159" s="113" t="s">
        <v>306</v>
      </c>
      <c r="D159" s="113"/>
      <c r="E159" s="113"/>
      <c r="F159" s="113"/>
      <c r="G159" s="129">
        <v>-414.7</v>
      </c>
      <c r="H159" s="113"/>
      <c r="I159" s="114"/>
      <c r="J159" s="114"/>
      <c r="K159" s="196"/>
      <c r="L159" s="192"/>
      <c r="M159" s="125" t="s">
        <v>313</v>
      </c>
      <c r="N159" s="114"/>
      <c r="O159" s="114">
        <v>414.7</v>
      </c>
      <c r="P159" s="114">
        <v>-414.7</v>
      </c>
      <c r="Q159" s="114"/>
      <c r="R159" s="114"/>
      <c r="S159" s="114">
        <v>-414.7</v>
      </c>
      <c r="T159" s="105"/>
      <c r="U159" s="105"/>
      <c r="V159" s="105"/>
    </row>
    <row r="160" spans="1:22" ht="31.5" x14ac:dyDescent="0.25">
      <c r="A160" s="112"/>
      <c r="B160" s="265"/>
      <c r="C160" s="113" t="s">
        <v>307</v>
      </c>
      <c r="D160" s="113"/>
      <c r="E160" s="113"/>
      <c r="F160" s="113"/>
      <c r="G160" s="129">
        <v>26140.59</v>
      </c>
      <c r="H160" s="113"/>
      <c r="I160" s="114"/>
      <c r="J160" s="114"/>
      <c r="K160" s="196"/>
      <c r="L160" s="192"/>
      <c r="M160" s="125" t="s">
        <v>314</v>
      </c>
      <c r="N160" s="114">
        <v>26140.59</v>
      </c>
      <c r="O160" s="114"/>
      <c r="P160" s="114"/>
      <c r="Q160" s="114">
        <v>-26140.59</v>
      </c>
      <c r="R160" s="114"/>
      <c r="S160" s="114">
        <v>26140.59</v>
      </c>
      <c r="T160" s="105"/>
      <c r="U160" s="105"/>
      <c r="V160" s="105"/>
    </row>
    <row r="161" spans="1:24" ht="31.5" x14ac:dyDescent="0.25">
      <c r="A161" s="112"/>
      <c r="B161" s="265"/>
      <c r="C161" s="113" t="s">
        <v>308</v>
      </c>
      <c r="D161" s="113"/>
      <c r="E161" s="113"/>
      <c r="F161" s="113"/>
      <c r="G161" s="129">
        <v>10500</v>
      </c>
      <c r="H161" s="113"/>
      <c r="I161" s="114"/>
      <c r="J161" s="114"/>
      <c r="K161" s="196"/>
      <c r="L161" s="192"/>
      <c r="M161" s="125" t="s">
        <v>105</v>
      </c>
      <c r="N161" s="114">
        <v>10500</v>
      </c>
      <c r="O161" s="114"/>
      <c r="P161" s="114"/>
      <c r="Q161" s="114">
        <v>-10500</v>
      </c>
      <c r="R161" s="114"/>
      <c r="S161" s="114">
        <v>10500</v>
      </c>
      <c r="T161" s="105"/>
      <c r="U161" s="105"/>
      <c r="V161" s="105"/>
    </row>
    <row r="162" spans="1:24" ht="31.5" x14ac:dyDescent="0.25">
      <c r="A162" s="112"/>
      <c r="B162" s="265"/>
      <c r="C162" s="113" t="s">
        <v>309</v>
      </c>
      <c r="D162" s="113"/>
      <c r="E162" s="113"/>
      <c r="F162" s="113"/>
      <c r="G162" s="129">
        <v>106654.89</v>
      </c>
      <c r="H162" s="113"/>
      <c r="I162" s="114"/>
      <c r="J162" s="114"/>
      <c r="K162" s="196"/>
      <c r="L162" s="192"/>
      <c r="M162" s="125" t="s">
        <v>315</v>
      </c>
      <c r="N162" s="114">
        <v>106654.89</v>
      </c>
      <c r="O162" s="114"/>
      <c r="P162" s="114"/>
      <c r="Q162" s="114">
        <v>-106654.89</v>
      </c>
      <c r="R162" s="114"/>
      <c r="S162" s="114">
        <v>106654.89</v>
      </c>
      <c r="T162" s="105"/>
      <c r="U162" s="105"/>
      <c r="V162" s="105"/>
    </row>
    <row r="163" spans="1:24" ht="31.5" x14ac:dyDescent="0.25">
      <c r="A163" s="112"/>
      <c r="B163" s="265"/>
      <c r="C163" s="113" t="s">
        <v>310</v>
      </c>
      <c r="D163" s="113"/>
      <c r="E163" s="113"/>
      <c r="F163" s="113"/>
      <c r="G163" s="129">
        <v>3179.25</v>
      </c>
      <c r="H163" s="113"/>
      <c r="I163" s="114"/>
      <c r="J163" s="114"/>
      <c r="K163" s="196"/>
      <c r="L163" s="192"/>
      <c r="M163" s="125" t="s">
        <v>106</v>
      </c>
      <c r="N163" s="114">
        <v>3179.25</v>
      </c>
      <c r="O163" s="114"/>
      <c r="P163" s="114"/>
      <c r="Q163" s="114">
        <v>-3179.25</v>
      </c>
      <c r="R163" s="114"/>
      <c r="S163" s="114">
        <v>3179.25</v>
      </c>
      <c r="T163" s="105"/>
      <c r="U163" s="105"/>
      <c r="V163" s="105"/>
    </row>
    <row r="164" spans="1:24" ht="31.5" x14ac:dyDescent="0.25">
      <c r="A164" s="112"/>
      <c r="B164" s="265"/>
      <c r="C164" s="113" t="s">
        <v>95</v>
      </c>
      <c r="D164" s="113"/>
      <c r="E164" s="113"/>
      <c r="F164" s="113"/>
      <c r="G164" s="129">
        <v>564118.04</v>
      </c>
      <c r="H164" s="113"/>
      <c r="I164" s="114"/>
      <c r="J164" s="114"/>
      <c r="K164" s="196"/>
      <c r="L164" s="192"/>
      <c r="M164" s="125" t="s">
        <v>128</v>
      </c>
      <c r="N164" s="114">
        <v>564118.04</v>
      </c>
      <c r="O164" s="114"/>
      <c r="P164" s="114"/>
      <c r="Q164" s="114">
        <v>-564118.04</v>
      </c>
      <c r="R164" s="114"/>
      <c r="S164" s="114">
        <v>564118.04</v>
      </c>
      <c r="T164" s="105"/>
      <c r="U164" s="105"/>
      <c r="V164" s="105"/>
    </row>
    <row r="165" spans="1:24" ht="31.5" x14ac:dyDescent="0.25">
      <c r="A165" s="112"/>
      <c r="B165" s="265"/>
      <c r="C165" s="113" t="s">
        <v>311</v>
      </c>
      <c r="D165" s="113"/>
      <c r="E165" s="113"/>
      <c r="F165" s="113"/>
      <c r="G165" s="129">
        <v>-9056741.3500000015</v>
      </c>
      <c r="H165" s="113"/>
      <c r="I165" s="114"/>
      <c r="J165" s="114"/>
      <c r="K165" s="196"/>
      <c r="L165" s="192"/>
      <c r="M165" s="125" t="s">
        <v>313</v>
      </c>
      <c r="N165" s="114"/>
      <c r="O165" s="114">
        <v>9056741.3500000015</v>
      </c>
      <c r="P165" s="114">
        <v>-9056741.3500000015</v>
      </c>
      <c r="Q165" s="114"/>
      <c r="R165" s="114">
        <v>9056741.3500000015</v>
      </c>
      <c r="S165" s="114">
        <v>-9056741.3499999996</v>
      </c>
      <c r="T165" s="105"/>
      <c r="U165" s="105"/>
      <c r="V165" s="105"/>
    </row>
    <row r="166" spans="1:24" s="101" customFormat="1" x14ac:dyDescent="0.25">
      <c r="A166" s="126" t="s">
        <v>271</v>
      </c>
      <c r="B166" s="266"/>
      <c r="C166" s="127"/>
      <c r="D166" s="127"/>
      <c r="E166" s="127"/>
      <c r="F166" s="127"/>
      <c r="G166" s="109">
        <f>G15+G11+G9</f>
        <v>727902292.90101361</v>
      </c>
      <c r="H166" s="117"/>
      <c r="I166" s="109"/>
      <c r="J166" s="109"/>
      <c r="K166" s="197">
        <f>K15+K11</f>
        <v>-1236557950.3189869</v>
      </c>
      <c r="L166" s="223"/>
      <c r="M166" s="109"/>
      <c r="N166" s="109"/>
      <c r="O166" s="109"/>
      <c r="P166" s="109">
        <f>P15+P11</f>
        <v>-1208877740.7089868</v>
      </c>
      <c r="Q166" s="109">
        <f>Q15+Q11</f>
        <v>26262186.730000004</v>
      </c>
      <c r="R166" s="109"/>
      <c r="S166" s="109">
        <f>SUBTOTAL(9,S11:S165)</f>
        <v>-14901802.079999996</v>
      </c>
      <c r="T166" s="99"/>
      <c r="U166" s="99"/>
      <c r="V166" s="99"/>
    </row>
    <row r="167" spans="1:24" x14ac:dyDescent="0.25">
      <c r="A167" s="130"/>
      <c r="C167" s="262"/>
      <c r="D167" s="131"/>
      <c r="E167" s="131"/>
      <c r="F167" s="131"/>
      <c r="G167" s="99">
        <f>G166-[18]FC1SGE!$J$17</f>
        <v>424836617.20000118</v>
      </c>
      <c r="H167" s="132"/>
      <c r="M167" s="105"/>
      <c r="N167" s="105"/>
      <c r="O167" s="105"/>
      <c r="P167" s="105"/>
      <c r="Q167" s="105"/>
      <c r="R167" s="105"/>
      <c r="S167" s="105"/>
      <c r="T167" s="105"/>
      <c r="U167" s="105"/>
      <c r="V167" s="105"/>
    </row>
    <row r="168" spans="1:24" ht="31.5" x14ac:dyDescent="0.25">
      <c r="A168" s="130"/>
      <c r="C168" s="100" t="s">
        <v>74</v>
      </c>
      <c r="D168" s="100"/>
      <c r="E168" s="100"/>
      <c r="F168" s="100"/>
      <c r="H168" s="100" t="s">
        <v>75</v>
      </c>
      <c r="I168" s="134"/>
      <c r="J168" s="134"/>
      <c r="M168" s="101" t="s">
        <v>76</v>
      </c>
      <c r="N168" s="105"/>
      <c r="O168" s="105"/>
      <c r="P168" s="105"/>
      <c r="Q168" s="104"/>
      <c r="R168" s="101" t="s">
        <v>77</v>
      </c>
      <c r="S168" s="105"/>
      <c r="T168" s="105"/>
      <c r="U168" s="105"/>
      <c r="V168" s="105"/>
    </row>
    <row r="169" spans="1:24" x14ac:dyDescent="0.25">
      <c r="C169" s="135" t="s">
        <v>78</v>
      </c>
      <c r="D169" s="135"/>
      <c r="E169" s="135"/>
      <c r="F169" s="135"/>
      <c r="G169" s="105">
        <f>G166</f>
        <v>727902292.90101361</v>
      </c>
      <c r="H169" s="132"/>
      <c r="J169" s="134"/>
      <c r="M169" s="105"/>
      <c r="N169" s="136" t="s">
        <v>79</v>
      </c>
      <c r="O169" s="137"/>
      <c r="P169" s="105">
        <f>P166</f>
        <v>-1208877740.7089868</v>
      </c>
      <c r="Q169" s="105"/>
      <c r="R169" s="105"/>
      <c r="S169" s="105"/>
      <c r="T169" s="105"/>
      <c r="U169" s="105"/>
      <c r="V169" s="105"/>
    </row>
    <row r="170" spans="1:24" x14ac:dyDescent="0.25">
      <c r="C170" s="135" t="s">
        <v>80</v>
      </c>
      <c r="D170" s="135"/>
      <c r="E170" s="135"/>
      <c r="F170" s="135"/>
      <c r="G170" s="105">
        <f>G9</f>
        <v>1963112594.0999999</v>
      </c>
      <c r="M170" s="105"/>
      <c r="N170" s="136" t="s">
        <v>81</v>
      </c>
      <c r="O170" s="137"/>
      <c r="P170" s="105">
        <f>Q166</f>
        <v>26262186.730000004</v>
      </c>
      <c r="Q170" s="105"/>
      <c r="R170" s="105"/>
      <c r="S170" s="105"/>
      <c r="T170" s="105"/>
      <c r="U170" s="105"/>
      <c r="V170" s="105"/>
    </row>
    <row r="171" spans="1:24" x14ac:dyDescent="0.25">
      <c r="C171" s="138" t="s">
        <v>82</v>
      </c>
      <c r="D171" s="138"/>
      <c r="E171" s="138"/>
      <c r="F171" s="138"/>
      <c r="G171" s="99">
        <f>G169-G170</f>
        <v>-1235210301.1989863</v>
      </c>
      <c r="H171" s="138" t="s">
        <v>83</v>
      </c>
      <c r="K171" s="193"/>
      <c r="L171" s="216"/>
      <c r="M171" s="105"/>
      <c r="N171" s="136" t="s">
        <v>84</v>
      </c>
      <c r="O171" s="139"/>
      <c r="P171" s="105"/>
      <c r="Q171" s="105"/>
      <c r="R171" s="99" t="s">
        <v>84</v>
      </c>
      <c r="S171" s="99">
        <f>S166</f>
        <v>-14901802.079999996</v>
      </c>
      <c r="T171" s="105"/>
      <c r="U171" s="105"/>
      <c r="V171" s="105"/>
    </row>
    <row r="172" spans="1:24" x14ac:dyDescent="0.25">
      <c r="H172" s="140"/>
      <c r="M172" s="105"/>
      <c r="N172" s="141" t="s">
        <v>85</v>
      </c>
      <c r="O172" s="99"/>
      <c r="P172" s="99"/>
      <c r="Q172" s="99">
        <f>P169-P170+P171</f>
        <v>-1235139927.4389868</v>
      </c>
      <c r="R172" s="105"/>
      <c r="S172" s="105"/>
      <c r="T172" s="105"/>
      <c r="U172" s="321"/>
      <c r="V172" s="321"/>
      <c r="W172" s="142"/>
    </row>
    <row r="173" spans="1:24" s="101" customFormat="1" ht="16.5" x14ac:dyDescent="0.3">
      <c r="B173" s="264"/>
      <c r="C173" s="100"/>
      <c r="D173" s="100"/>
      <c r="E173" s="100"/>
      <c r="F173" s="100"/>
      <c r="G173" s="99"/>
      <c r="H173" s="259"/>
      <c r="I173" s="255"/>
      <c r="J173" s="255"/>
      <c r="K173" s="193"/>
      <c r="L173" s="216"/>
      <c r="M173" s="99"/>
      <c r="N173" s="99"/>
      <c r="O173" s="99"/>
      <c r="P173" s="99"/>
      <c r="Q173" s="157">
        <f>Q172-G171</f>
        <v>70373.759999513626</v>
      </c>
      <c r="R173" s="99"/>
      <c r="S173" s="99">
        <f>S171-[18]FC1SGE!$N$14</f>
        <v>-14901802.079999996</v>
      </c>
      <c r="T173" s="99"/>
      <c r="U173" s="143"/>
      <c r="V173" s="143"/>
      <c r="W173" s="144"/>
    </row>
    <row r="174" spans="1:24" ht="16.5" x14ac:dyDescent="0.3">
      <c r="H174" s="259"/>
      <c r="I174" s="255"/>
      <c r="J174" s="255"/>
      <c r="M174" s="105"/>
      <c r="N174" s="105"/>
      <c r="O174" s="105"/>
      <c r="P174" s="105"/>
      <c r="Q174" s="105"/>
      <c r="R174" s="145"/>
      <c r="S174" s="105"/>
      <c r="T174" s="99"/>
      <c r="U174" s="105"/>
      <c r="V174" s="105"/>
      <c r="W174" s="133"/>
      <c r="X174" s="133"/>
    </row>
    <row r="175" spans="1:24" ht="16.5" x14ac:dyDescent="0.3">
      <c r="C175" s="100" t="s">
        <v>88</v>
      </c>
      <c r="D175" s="100"/>
      <c r="E175" s="100"/>
      <c r="F175" s="100"/>
      <c r="H175" s="260"/>
      <c r="I175" s="256"/>
      <c r="J175" s="256"/>
      <c r="M175" s="105"/>
      <c r="N175" s="105" t="s">
        <v>89</v>
      </c>
      <c r="O175" s="105"/>
      <c r="P175" s="105"/>
      <c r="Q175" s="105"/>
      <c r="R175" s="99"/>
      <c r="S175" s="105"/>
      <c r="T175" s="105"/>
      <c r="U175" s="99"/>
      <c r="V175" s="99"/>
      <c r="W175" s="104"/>
    </row>
    <row r="176" spans="1:24" x14ac:dyDescent="0.25">
      <c r="H176" s="261"/>
      <c r="M176" s="105"/>
      <c r="N176" s="105"/>
      <c r="O176" s="105"/>
      <c r="P176" s="105"/>
      <c r="Q176" s="105"/>
      <c r="R176" s="105"/>
      <c r="S176" s="105"/>
      <c r="T176" s="105"/>
      <c r="U176" s="105"/>
      <c r="V176" s="105"/>
      <c r="W176" s="133"/>
    </row>
    <row r="177" spans="2:22" x14ac:dyDescent="0.25">
      <c r="H177" s="140"/>
      <c r="I177" s="101"/>
      <c r="M177" s="105"/>
      <c r="N177" s="105"/>
      <c r="O177" s="105"/>
      <c r="P177" s="105"/>
      <c r="Q177" s="105"/>
      <c r="R177" s="105"/>
      <c r="S177" s="105"/>
      <c r="T177" s="105"/>
      <c r="U177" s="105"/>
      <c r="V177" s="105"/>
    </row>
    <row r="178" spans="2:22" x14ac:dyDescent="0.25">
      <c r="C178" s="146" t="s">
        <v>208</v>
      </c>
      <c r="D178" s="238"/>
      <c r="E178" s="238"/>
      <c r="F178" s="238"/>
      <c r="H178" s="132"/>
      <c r="M178" s="145"/>
      <c r="N178" s="471" t="s">
        <v>90</v>
      </c>
      <c r="O178" s="471"/>
      <c r="P178" s="471"/>
      <c r="Q178" s="145"/>
      <c r="R178" s="145"/>
      <c r="S178" s="145"/>
      <c r="T178" s="105"/>
      <c r="U178" s="105"/>
      <c r="V178" s="105"/>
    </row>
    <row r="179" spans="2:22" x14ac:dyDescent="0.25">
      <c r="C179" s="108" t="s">
        <v>91</v>
      </c>
      <c r="D179" s="108"/>
      <c r="E179" s="108"/>
      <c r="F179" s="108"/>
      <c r="H179" s="103"/>
      <c r="I179" s="101"/>
      <c r="M179" s="147"/>
      <c r="N179" s="456" t="s">
        <v>92</v>
      </c>
      <c r="O179" s="456"/>
      <c r="P179" s="456"/>
      <c r="Q179" s="147"/>
      <c r="R179" s="147"/>
      <c r="S179" s="147"/>
      <c r="T179" s="105"/>
      <c r="U179" s="105"/>
      <c r="V179" s="105"/>
    </row>
    <row r="181" spans="2:22" x14ac:dyDescent="0.25">
      <c r="B181" s="264"/>
      <c r="C181" s="235"/>
      <c r="D181" s="235"/>
      <c r="E181" s="235"/>
      <c r="F181" s="235"/>
    </row>
    <row r="182" spans="2:22" x14ac:dyDescent="0.25">
      <c r="B182" s="264"/>
      <c r="C182" s="235"/>
      <c r="D182" s="235"/>
      <c r="E182" s="235"/>
      <c r="F182" s="235"/>
      <c r="N182" s="234"/>
      <c r="O182" s="230"/>
      <c r="P182" s="144"/>
      <c r="Q182" s="230"/>
    </row>
    <row r="183" spans="2:22" x14ac:dyDescent="0.25">
      <c r="B183" s="264"/>
      <c r="C183" s="235"/>
      <c r="D183" s="235"/>
      <c r="E183" s="235"/>
      <c r="F183" s="235"/>
      <c r="N183" s="234"/>
      <c r="O183" s="230"/>
      <c r="P183" s="144"/>
      <c r="Q183" s="230"/>
    </row>
    <row r="184" spans="2:22" x14ac:dyDescent="0.25">
      <c r="B184" s="264"/>
      <c r="C184" s="235"/>
      <c r="D184" s="235"/>
      <c r="E184" s="235"/>
      <c r="F184" s="235"/>
      <c r="N184" s="234"/>
      <c r="O184" s="230"/>
      <c r="P184" s="144"/>
      <c r="Q184" s="230"/>
    </row>
    <row r="185" spans="2:22" x14ac:dyDescent="0.25">
      <c r="B185" s="264"/>
      <c r="C185" s="235"/>
      <c r="D185" s="235"/>
      <c r="E185" s="235"/>
      <c r="F185" s="235"/>
      <c r="N185" s="234"/>
      <c r="O185" s="230"/>
      <c r="P185" s="144"/>
      <c r="Q185" s="230"/>
    </row>
    <row r="186" spans="2:22" x14ac:dyDescent="0.25">
      <c r="B186" s="264"/>
      <c r="C186" s="235"/>
      <c r="D186" s="235"/>
      <c r="E186" s="235"/>
      <c r="F186" s="235"/>
      <c r="G186" s="107"/>
      <c r="M186" s="105"/>
      <c r="N186" s="234"/>
      <c r="O186" s="230"/>
      <c r="P186" s="144"/>
      <c r="Q186" s="230"/>
    </row>
    <row r="187" spans="2:22" x14ac:dyDescent="0.25">
      <c r="B187" s="264"/>
      <c r="C187" s="235"/>
      <c r="D187" s="235"/>
      <c r="E187" s="235"/>
      <c r="F187" s="235"/>
      <c r="G187" s="107"/>
      <c r="M187" s="105"/>
      <c r="N187" s="234"/>
      <c r="O187" s="230"/>
      <c r="P187" s="144"/>
      <c r="Q187" s="230"/>
    </row>
    <row r="188" spans="2:22" x14ac:dyDescent="0.25">
      <c r="B188" s="264"/>
      <c r="C188" s="235"/>
      <c r="D188" s="235"/>
      <c r="E188" s="235"/>
      <c r="F188" s="235"/>
      <c r="G188" s="107"/>
      <c r="M188" s="105"/>
      <c r="N188" s="234"/>
      <c r="O188" s="230"/>
      <c r="P188" s="144"/>
      <c r="Q188" s="230"/>
    </row>
    <row r="189" spans="2:22" x14ac:dyDescent="0.25">
      <c r="B189" s="264"/>
      <c r="C189" s="235"/>
      <c r="D189" s="235"/>
      <c r="E189" s="235"/>
      <c r="F189" s="235"/>
      <c r="G189" s="107"/>
      <c r="K189" s="193"/>
      <c r="M189" s="105"/>
      <c r="N189" s="234"/>
      <c r="O189" s="230"/>
      <c r="P189" s="144"/>
      <c r="Q189" s="230"/>
    </row>
    <row r="190" spans="2:22" x14ac:dyDescent="0.25">
      <c r="B190" s="264"/>
      <c r="C190" s="235"/>
      <c r="D190" s="235"/>
      <c r="E190" s="235"/>
      <c r="F190" s="235"/>
      <c r="N190" s="234"/>
      <c r="O190" s="230"/>
      <c r="P190" s="144"/>
      <c r="Q190" s="230"/>
    </row>
    <row r="191" spans="2:22" x14ac:dyDescent="0.25">
      <c r="B191" s="264"/>
      <c r="C191" s="235"/>
      <c r="D191" s="235"/>
      <c r="E191" s="235"/>
      <c r="F191" s="235"/>
      <c r="N191" s="234"/>
      <c r="O191" s="230"/>
      <c r="P191" s="144"/>
      <c r="Q191" s="230"/>
    </row>
    <row r="192" spans="2:22" x14ac:dyDescent="0.25">
      <c r="B192" s="264"/>
      <c r="C192" s="235"/>
      <c r="D192" s="235"/>
      <c r="E192" s="235"/>
      <c r="F192" s="235"/>
      <c r="N192" s="234"/>
      <c r="O192" s="230"/>
      <c r="P192" s="144"/>
      <c r="Q192" s="230"/>
    </row>
    <row r="193" spans="2:17" x14ac:dyDescent="0.25">
      <c r="B193" s="264"/>
      <c r="C193" s="235"/>
      <c r="D193" s="235"/>
      <c r="E193" s="235"/>
      <c r="F193" s="235"/>
      <c r="N193" s="234"/>
      <c r="O193" s="230"/>
      <c r="P193" s="144"/>
      <c r="Q193" s="230"/>
    </row>
    <row r="194" spans="2:17" x14ac:dyDescent="0.25">
      <c r="B194" s="264"/>
      <c r="C194" s="235"/>
      <c r="D194" s="235"/>
      <c r="E194" s="235"/>
      <c r="F194" s="235"/>
      <c r="N194" s="234"/>
      <c r="O194" s="230"/>
      <c r="P194" s="144"/>
      <c r="Q194" s="230"/>
    </row>
    <row r="195" spans="2:17" x14ac:dyDescent="0.25">
      <c r="B195" s="264"/>
      <c r="C195" s="235"/>
      <c r="D195" s="235"/>
      <c r="E195" s="235"/>
      <c r="F195" s="235"/>
      <c r="N195" s="234"/>
      <c r="O195" s="230"/>
      <c r="P195" s="144"/>
      <c r="Q195" s="230"/>
    </row>
    <row r="196" spans="2:17" x14ac:dyDescent="0.25">
      <c r="B196" s="269"/>
      <c r="C196" s="235"/>
      <c r="D196" s="235"/>
      <c r="E196" s="235"/>
      <c r="F196" s="235"/>
      <c r="N196" s="234"/>
      <c r="O196" s="230"/>
      <c r="P196" s="144"/>
      <c r="Q196" s="230"/>
    </row>
    <row r="197" spans="2:17" x14ac:dyDescent="0.25">
      <c r="B197" s="270"/>
      <c r="C197" s="235"/>
      <c r="D197" s="235"/>
      <c r="E197" s="235"/>
      <c r="F197" s="235"/>
      <c r="K197" s="193"/>
      <c r="N197" s="234"/>
      <c r="O197" s="230"/>
      <c r="P197" s="144"/>
      <c r="Q197" s="230"/>
    </row>
    <row r="198" spans="2:17" x14ac:dyDescent="0.25">
      <c r="B198" s="264"/>
      <c r="C198" s="235"/>
      <c r="D198" s="235"/>
      <c r="E198" s="235"/>
      <c r="F198" s="235"/>
      <c r="N198" s="234"/>
      <c r="O198" s="230"/>
      <c r="P198" s="144"/>
      <c r="Q198" s="230"/>
    </row>
    <row r="199" spans="2:17" x14ac:dyDescent="0.25">
      <c r="B199" s="264"/>
      <c r="C199" s="235"/>
      <c r="D199" s="235"/>
      <c r="E199" s="235"/>
      <c r="F199" s="235"/>
      <c r="K199" s="193"/>
      <c r="L199" s="229"/>
      <c r="M199" s="230"/>
      <c r="N199" s="234"/>
      <c r="O199" s="230"/>
      <c r="P199" s="144"/>
      <c r="Q199" s="230"/>
    </row>
    <row r="200" spans="2:17" x14ac:dyDescent="0.25">
      <c r="B200" s="264"/>
      <c r="C200" s="235"/>
      <c r="D200" s="235"/>
      <c r="E200" s="235"/>
      <c r="F200" s="235"/>
      <c r="J200" s="101"/>
      <c r="K200" s="193"/>
      <c r="L200" s="229"/>
      <c r="M200" s="230"/>
      <c r="N200" s="234"/>
      <c r="O200" s="230"/>
      <c r="P200" s="144"/>
      <c r="Q200" s="230"/>
    </row>
    <row r="201" spans="2:17" x14ac:dyDescent="0.25">
      <c r="B201" s="264"/>
      <c r="C201" s="235"/>
      <c r="D201" s="235"/>
      <c r="E201" s="235"/>
      <c r="F201" s="235"/>
      <c r="J201" s="101"/>
      <c r="K201" s="193"/>
      <c r="L201" s="229"/>
      <c r="M201" s="230"/>
      <c r="N201" s="234"/>
      <c r="O201" s="230"/>
      <c r="P201" s="144"/>
      <c r="Q201" s="230"/>
    </row>
    <row r="202" spans="2:17" x14ac:dyDescent="0.25">
      <c r="B202" s="264"/>
      <c r="C202" s="235"/>
      <c r="D202" s="235"/>
      <c r="E202" s="235"/>
      <c r="F202" s="235"/>
      <c r="J202" s="101"/>
      <c r="K202" s="230"/>
      <c r="L202" s="229"/>
      <c r="M202" s="230"/>
      <c r="N202" s="234"/>
      <c r="O202" s="230"/>
      <c r="P202" s="144"/>
      <c r="Q202" s="230"/>
    </row>
    <row r="203" spans="2:17" x14ac:dyDescent="0.25">
      <c r="B203" s="264"/>
      <c r="C203" s="235"/>
      <c r="D203" s="235"/>
      <c r="E203" s="235"/>
      <c r="F203" s="235"/>
      <c r="J203" s="101"/>
      <c r="K203" s="230"/>
      <c r="L203" s="229"/>
      <c r="M203" s="230"/>
      <c r="N203" s="234"/>
      <c r="O203" s="230"/>
      <c r="P203" s="144"/>
      <c r="Q203" s="230"/>
    </row>
    <row r="204" spans="2:17" x14ac:dyDescent="0.25">
      <c r="B204" s="264"/>
      <c r="C204" s="235"/>
      <c r="D204" s="235"/>
      <c r="E204" s="235"/>
      <c r="F204" s="235"/>
      <c r="J204" s="101"/>
      <c r="K204" s="193"/>
      <c r="L204" s="229"/>
      <c r="M204" s="230"/>
      <c r="N204" s="234"/>
      <c r="O204" s="230"/>
      <c r="P204" s="144"/>
      <c r="Q204" s="230"/>
    </row>
    <row r="205" spans="2:17" x14ac:dyDescent="0.25">
      <c r="B205" s="264"/>
      <c r="C205" s="235"/>
      <c r="D205" s="235"/>
      <c r="E205" s="235"/>
      <c r="F205" s="235"/>
      <c r="J205" s="101"/>
      <c r="K205" s="193"/>
      <c r="L205" s="229"/>
      <c r="M205" s="230"/>
      <c r="N205" s="144"/>
      <c r="O205" s="232"/>
      <c r="P205" s="144"/>
      <c r="Q205" s="230"/>
    </row>
    <row r="206" spans="2:17" x14ac:dyDescent="0.25">
      <c r="B206" s="264"/>
      <c r="C206" s="235"/>
      <c r="D206" s="235"/>
      <c r="E206" s="235"/>
      <c r="F206" s="235"/>
      <c r="J206" s="101"/>
      <c r="K206" s="193"/>
      <c r="L206" s="229"/>
      <c r="M206" s="230"/>
      <c r="N206" s="144"/>
      <c r="O206" s="232"/>
      <c r="P206" s="144"/>
      <c r="Q206" s="230"/>
    </row>
    <row r="207" spans="2:17" x14ac:dyDescent="0.25">
      <c r="B207" s="264"/>
      <c r="C207" s="235"/>
      <c r="D207" s="235"/>
      <c r="E207" s="235"/>
      <c r="F207" s="235"/>
      <c r="K207" s="193"/>
      <c r="L207" s="229"/>
      <c r="M207" s="230"/>
      <c r="O207" s="134"/>
      <c r="P207" s="144"/>
      <c r="Q207" s="230"/>
    </row>
    <row r="208" spans="2:17" x14ac:dyDescent="0.25">
      <c r="B208" s="264"/>
      <c r="C208" s="235"/>
      <c r="D208" s="235"/>
      <c r="E208" s="235"/>
      <c r="F208" s="235"/>
      <c r="K208" s="193"/>
      <c r="L208" s="229"/>
      <c r="M208" s="230"/>
      <c r="P208" s="144"/>
      <c r="Q208" s="230"/>
    </row>
    <row r="209" spans="2:17" x14ac:dyDescent="0.25">
      <c r="B209" s="264"/>
      <c r="C209" s="235"/>
      <c r="D209" s="235"/>
      <c r="E209" s="235"/>
      <c r="F209" s="235"/>
      <c r="K209" s="193"/>
      <c r="L209" s="229"/>
      <c r="M209" s="230"/>
      <c r="P209" s="144"/>
      <c r="Q209" s="230"/>
    </row>
    <row r="210" spans="2:17" x14ac:dyDescent="0.25">
      <c r="B210" s="264"/>
      <c r="C210" s="235"/>
      <c r="D210" s="235"/>
      <c r="E210" s="235"/>
      <c r="F210" s="235"/>
      <c r="J210" s="101"/>
      <c r="K210" s="193"/>
      <c r="L210" s="229"/>
      <c r="M210" s="230"/>
      <c r="P210" s="144"/>
      <c r="Q210" s="230"/>
    </row>
    <row r="211" spans="2:17" x14ac:dyDescent="0.25">
      <c r="B211" s="264"/>
      <c r="C211" s="235"/>
      <c r="D211" s="235"/>
      <c r="E211" s="235"/>
      <c r="F211" s="235"/>
      <c r="K211" s="193"/>
      <c r="L211" s="229"/>
      <c r="M211" s="230"/>
      <c r="P211" s="144"/>
      <c r="Q211" s="230"/>
    </row>
    <row r="212" spans="2:17" x14ac:dyDescent="0.25">
      <c r="B212" s="264"/>
      <c r="C212" s="235"/>
      <c r="D212" s="235"/>
      <c r="E212" s="235"/>
      <c r="F212" s="235"/>
      <c r="J212" s="101"/>
      <c r="K212" s="193"/>
      <c r="L212" s="229"/>
      <c r="M212" s="230"/>
      <c r="P212" s="144"/>
      <c r="Q212" s="230"/>
    </row>
    <row r="213" spans="2:17" x14ac:dyDescent="0.25">
      <c r="B213" s="264"/>
      <c r="C213" s="235"/>
      <c r="D213" s="235"/>
      <c r="E213" s="235"/>
      <c r="F213" s="235"/>
      <c r="K213" s="193"/>
      <c r="L213" s="229"/>
      <c r="M213" s="230"/>
      <c r="P213" s="144"/>
      <c r="Q213" s="230"/>
    </row>
    <row r="214" spans="2:17" x14ac:dyDescent="0.25">
      <c r="B214" s="264"/>
      <c r="C214" s="235"/>
      <c r="D214" s="235"/>
      <c r="E214" s="235"/>
      <c r="F214" s="235"/>
      <c r="L214" s="229"/>
      <c r="M214" s="230"/>
      <c r="P214" s="144"/>
      <c r="Q214" s="230"/>
    </row>
    <row r="215" spans="2:17" x14ac:dyDescent="0.25">
      <c r="B215" s="264"/>
      <c r="C215" s="235"/>
      <c r="D215" s="235"/>
      <c r="E215" s="235"/>
      <c r="F215" s="235"/>
      <c r="L215" s="229"/>
      <c r="M215" s="230"/>
      <c r="P215" s="144"/>
      <c r="Q215" s="230"/>
    </row>
    <row r="216" spans="2:17" x14ac:dyDescent="0.25">
      <c r="B216" s="264"/>
      <c r="C216" s="235"/>
      <c r="D216" s="235"/>
      <c r="E216" s="235"/>
      <c r="F216" s="235"/>
      <c r="L216" s="229"/>
      <c r="M216" s="230"/>
      <c r="P216" s="144"/>
      <c r="Q216" s="230"/>
    </row>
    <row r="217" spans="2:17" x14ac:dyDescent="0.25">
      <c r="B217" s="264"/>
      <c r="C217" s="235"/>
      <c r="D217" s="235"/>
      <c r="E217" s="235"/>
      <c r="F217" s="235"/>
      <c r="L217" s="229"/>
      <c r="M217" s="230"/>
    </row>
    <row r="218" spans="2:17" x14ac:dyDescent="0.25">
      <c r="B218" s="264"/>
      <c r="C218" s="235"/>
      <c r="D218" s="235"/>
      <c r="E218" s="235"/>
      <c r="F218" s="235"/>
      <c r="L218" s="229"/>
      <c r="M218" s="230"/>
    </row>
    <row r="219" spans="2:17" x14ac:dyDescent="0.25">
      <c r="B219" s="264"/>
      <c r="C219" s="235"/>
      <c r="D219" s="235"/>
      <c r="E219" s="235"/>
      <c r="F219" s="235"/>
      <c r="L219" s="229"/>
      <c r="M219" s="230"/>
    </row>
    <row r="220" spans="2:17" x14ac:dyDescent="0.25">
      <c r="B220" s="264"/>
      <c r="C220" s="235"/>
      <c r="D220" s="235"/>
      <c r="E220" s="235"/>
      <c r="F220" s="235"/>
      <c r="L220" s="229"/>
      <c r="M220" s="230"/>
    </row>
    <row r="221" spans="2:17" x14ac:dyDescent="0.25">
      <c r="B221" s="264"/>
      <c r="C221" s="235"/>
      <c r="D221" s="235"/>
      <c r="E221" s="235"/>
      <c r="F221" s="235"/>
      <c r="L221" s="229"/>
      <c r="M221" s="230"/>
    </row>
    <row r="222" spans="2:17" x14ac:dyDescent="0.25">
      <c r="B222" s="264"/>
      <c r="C222" s="235"/>
      <c r="D222" s="235"/>
      <c r="E222" s="235"/>
      <c r="F222" s="235"/>
      <c r="L222" s="229"/>
      <c r="M222" s="230"/>
    </row>
    <row r="223" spans="2:17" x14ac:dyDescent="0.25">
      <c r="B223" s="264"/>
      <c r="C223" s="235"/>
      <c r="D223" s="235"/>
      <c r="E223" s="235"/>
      <c r="F223" s="235"/>
      <c r="L223" s="229"/>
      <c r="M223" s="230"/>
    </row>
    <row r="224" spans="2:17" x14ac:dyDescent="0.25">
      <c r="B224" s="264"/>
      <c r="C224" s="235"/>
      <c r="D224" s="235"/>
      <c r="E224" s="235"/>
      <c r="F224" s="235"/>
      <c r="L224" s="229"/>
      <c r="M224" s="230"/>
    </row>
    <row r="225" spans="11:13" x14ac:dyDescent="0.25">
      <c r="L225" s="229"/>
      <c r="M225" s="230"/>
    </row>
    <row r="226" spans="11:13" x14ac:dyDescent="0.25">
      <c r="L226" s="229"/>
      <c r="M226" s="230"/>
    </row>
    <row r="227" spans="11:13" x14ac:dyDescent="0.25">
      <c r="L227" s="229"/>
      <c r="M227" s="230"/>
    </row>
    <row r="228" spans="11:13" x14ac:dyDescent="0.25">
      <c r="L228" s="229"/>
      <c r="M228" s="230"/>
    </row>
    <row r="229" spans="11:13" x14ac:dyDescent="0.25">
      <c r="K229" s="193"/>
      <c r="L229" s="229"/>
      <c r="M229" s="230"/>
    </row>
    <row r="230" spans="11:13" x14ac:dyDescent="0.25">
      <c r="M230" s="102"/>
    </row>
  </sheetData>
  <autoFilter ref="A17:X175"/>
  <mergeCells count="9">
    <mergeCell ref="N179:P179"/>
    <mergeCell ref="A6:C8"/>
    <mergeCell ref="G6:G8"/>
    <mergeCell ref="H6:Q6"/>
    <mergeCell ref="R6:S8"/>
    <mergeCell ref="H7:K7"/>
    <mergeCell ref="M7:Q7"/>
    <mergeCell ref="A9:C9"/>
    <mergeCell ref="N178:P178"/>
  </mergeCells>
  <conditionalFormatting sqref="L199:L229">
    <cfRule type="containsText" dxfId="293" priority="1" operator="containsText" text="5020201002">
      <formula>NOT(ISERROR(SEARCH("5020201002",L199)))</formula>
    </cfRule>
    <cfRule type="containsText" dxfId="292" priority="2" operator="containsText" text="5020201010">
      <formula>NOT(ISERROR(SEARCH("5020201010",L199)))</formula>
    </cfRule>
    <cfRule type="containsText" dxfId="291" priority="3" operator="containsText" text="5020201000">
      <formula>NOT(ISERROR(SEARCH("5020201000",L199)))</formula>
    </cfRule>
    <cfRule type="containsText" dxfId="290" priority="4" operator="containsText" text="502020101000">
      <formula>NOT(ISERROR(SEARCH("502020101000",L199)))</formula>
    </cfRule>
  </conditionalFormatting>
  <pageMargins left="0.70866141732283472" right="0.70866141732283472" top="0.74803149606299213" bottom="0.74803149606299213" header="0.31496062992125984" footer="0.31496062992125984"/>
  <pageSetup paperSize="9" scale="37" fitToHeight="0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60"/>
  <sheetViews>
    <sheetView topLeftCell="B1" zoomScale="85" zoomScaleNormal="85" workbookViewId="0">
      <selection activeCell="E21" sqref="E21"/>
    </sheetView>
  </sheetViews>
  <sheetFormatPr defaultColWidth="9.140625" defaultRowHeight="15.75" x14ac:dyDescent="0.25"/>
  <cols>
    <col min="1" max="1" width="15.5703125" style="155" hidden="1" customWidth="1"/>
    <col min="2" max="2" width="2.28515625" style="155" customWidth="1"/>
    <col min="3" max="3" width="13.5703125" style="155" customWidth="1"/>
    <col min="4" max="4" width="51.140625" style="155" customWidth="1"/>
    <col min="5" max="5" width="22.85546875" style="156" customWidth="1"/>
    <col min="6" max="6" width="24.5703125" style="155" customWidth="1"/>
    <col min="7" max="7" width="18.28515625" style="155" bestFit="1" customWidth="1"/>
    <col min="8" max="8" width="18.85546875" style="155" customWidth="1"/>
    <col min="9" max="9" width="16.28515625" style="155" customWidth="1"/>
    <col min="10" max="10" width="33.28515625" style="148" customWidth="1"/>
    <col min="11" max="11" width="15.5703125" style="155" customWidth="1"/>
    <col min="12" max="13" width="16.42578125" style="155" customWidth="1"/>
    <col min="14" max="14" width="19.42578125" style="155" customWidth="1"/>
    <col min="15" max="15" width="16.28515625" style="155" customWidth="1"/>
    <col min="16" max="16" width="17.140625" style="155" customWidth="1"/>
    <col min="17" max="17" width="13.42578125" style="155" bestFit="1" customWidth="1"/>
    <col min="18" max="19" width="14.42578125" style="155" bestFit="1" customWidth="1"/>
    <col min="20" max="20" width="13.85546875" style="155" bestFit="1" customWidth="1"/>
    <col min="21" max="16384" width="9.140625" style="155"/>
  </cols>
  <sheetData>
    <row r="1" spans="2:19" x14ac:dyDescent="0.25">
      <c r="B1" s="165" t="s">
        <v>164</v>
      </c>
    </row>
    <row r="2" spans="2:19" s="165" customFormat="1" x14ac:dyDescent="0.25">
      <c r="B2" s="165" t="s">
        <v>1</v>
      </c>
      <c r="E2" s="164"/>
      <c r="I2" s="166"/>
      <c r="J2" s="160"/>
    </row>
    <row r="3" spans="2:19" s="165" customFormat="1" x14ac:dyDescent="0.25">
      <c r="B3" s="165" t="s">
        <v>206</v>
      </c>
      <c r="E3" s="164"/>
      <c r="I3" s="166"/>
      <c r="J3" s="160"/>
    </row>
    <row r="4" spans="2:19" x14ac:dyDescent="0.25">
      <c r="B4" s="165" t="s">
        <v>165</v>
      </c>
      <c r="I4" s="167"/>
    </row>
    <row r="5" spans="2:19" x14ac:dyDescent="0.25">
      <c r="I5" s="167"/>
    </row>
    <row r="6" spans="2:19" s="165" customFormat="1" ht="16.5" customHeight="1" x14ac:dyDescent="0.25">
      <c r="B6" s="522" t="s">
        <v>3</v>
      </c>
      <c r="C6" s="522"/>
      <c r="D6" s="522"/>
      <c r="E6" s="523" t="s">
        <v>4</v>
      </c>
      <c r="F6" s="522" t="s">
        <v>5</v>
      </c>
      <c r="G6" s="522"/>
      <c r="H6" s="522"/>
      <c r="I6" s="522"/>
      <c r="J6" s="522"/>
      <c r="K6" s="522"/>
      <c r="L6" s="522"/>
      <c r="M6" s="522"/>
      <c r="N6" s="522"/>
      <c r="O6" s="524" t="s">
        <v>166</v>
      </c>
      <c r="P6" s="525"/>
    </row>
    <row r="7" spans="2:19" s="165" customFormat="1" x14ac:dyDescent="0.25">
      <c r="B7" s="522"/>
      <c r="C7" s="522"/>
      <c r="D7" s="522"/>
      <c r="E7" s="523"/>
      <c r="F7" s="530" t="s">
        <v>7</v>
      </c>
      <c r="G7" s="531"/>
      <c r="H7" s="531"/>
      <c r="I7" s="532"/>
      <c r="J7" s="522" t="s">
        <v>8</v>
      </c>
      <c r="K7" s="522"/>
      <c r="L7" s="522"/>
      <c r="M7" s="522"/>
      <c r="N7" s="522"/>
      <c r="O7" s="526"/>
      <c r="P7" s="527"/>
    </row>
    <row r="8" spans="2:19" s="160" customFormat="1" ht="31.5" x14ac:dyDescent="0.25">
      <c r="B8" s="522"/>
      <c r="C8" s="522"/>
      <c r="D8" s="522"/>
      <c r="E8" s="523"/>
      <c r="F8" s="159" t="s">
        <v>9</v>
      </c>
      <c r="G8" s="159" t="s">
        <v>10</v>
      </c>
      <c r="H8" s="159" t="s">
        <v>11</v>
      </c>
      <c r="I8" s="159" t="s">
        <v>12</v>
      </c>
      <c r="J8" s="159" t="s">
        <v>9</v>
      </c>
      <c r="K8" s="159" t="s">
        <v>10</v>
      </c>
      <c r="L8" s="159" t="s">
        <v>11</v>
      </c>
      <c r="M8" s="159" t="s">
        <v>13</v>
      </c>
      <c r="N8" s="159" t="s">
        <v>14</v>
      </c>
      <c r="O8" s="528"/>
      <c r="P8" s="529"/>
    </row>
    <row r="9" spans="2:19" x14ac:dyDescent="0.25">
      <c r="B9" s="518" t="s">
        <v>188</v>
      </c>
      <c r="C9" s="519"/>
      <c r="D9" s="520"/>
      <c r="E9" s="151">
        <v>6701497.0099999998</v>
      </c>
      <c r="F9" s="152"/>
      <c r="G9" s="152"/>
      <c r="H9" s="152"/>
      <c r="I9" s="152"/>
      <c r="J9" s="211"/>
      <c r="K9" s="152"/>
      <c r="L9" s="152"/>
      <c r="M9" s="152"/>
      <c r="N9" s="152"/>
      <c r="O9" s="152"/>
      <c r="P9" s="152"/>
    </row>
    <row r="10" spans="2:19" x14ac:dyDescent="0.25">
      <c r="B10" s="149"/>
      <c r="C10" s="150"/>
      <c r="D10" s="82"/>
      <c r="E10" s="151"/>
      <c r="F10" s="152"/>
      <c r="G10" s="152"/>
      <c r="H10" s="152"/>
      <c r="I10" s="152"/>
      <c r="J10" s="154"/>
      <c r="K10" s="151"/>
      <c r="L10" s="151"/>
      <c r="M10" s="151"/>
      <c r="N10" s="151"/>
      <c r="O10" s="151"/>
      <c r="P10" s="151"/>
      <c r="Q10" s="156"/>
      <c r="R10" s="156"/>
      <c r="S10" s="156"/>
    </row>
    <row r="11" spans="2:19" hidden="1" x14ac:dyDescent="0.25">
      <c r="B11" s="149"/>
      <c r="C11" s="150" t="s">
        <v>16</v>
      </c>
      <c r="D11" s="82"/>
      <c r="E11" s="151">
        <f>SUM(E12:E16)</f>
        <v>0</v>
      </c>
      <c r="F11" s="151"/>
      <c r="G11" s="151">
        <f>SUM(G12:G16)</f>
        <v>0</v>
      </c>
      <c r="H11" s="151">
        <f>SUM(H12:H16)</f>
        <v>0</v>
      </c>
      <c r="I11" s="151">
        <f>SUM(I12:I16)</f>
        <v>0</v>
      </c>
      <c r="J11" s="154"/>
      <c r="K11" s="151"/>
      <c r="L11" s="151"/>
      <c r="M11" s="151">
        <f>SUM(M13:M16)</f>
        <v>0</v>
      </c>
      <c r="N11" s="151">
        <f>SUM(N13:N16)</f>
        <v>0</v>
      </c>
      <c r="O11" s="151"/>
      <c r="P11" s="151"/>
      <c r="Q11" s="156"/>
      <c r="R11" s="156"/>
      <c r="S11" s="156"/>
    </row>
    <row r="12" spans="2:19" s="173" customFormat="1" hidden="1" x14ac:dyDescent="0.25">
      <c r="B12" s="168"/>
      <c r="C12" s="169"/>
      <c r="D12" s="170" t="s">
        <v>17</v>
      </c>
      <c r="E12" s="171"/>
      <c r="F12" s="171"/>
      <c r="G12" s="171"/>
      <c r="H12" s="171"/>
      <c r="I12" s="171"/>
      <c r="J12" s="212"/>
      <c r="K12" s="171"/>
      <c r="L12" s="171"/>
      <c r="M12" s="171"/>
      <c r="N12" s="171"/>
      <c r="O12" s="171"/>
      <c r="P12" s="171"/>
      <c r="Q12" s="172"/>
      <c r="R12" s="172"/>
      <c r="S12" s="172"/>
    </row>
    <row r="13" spans="2:19" ht="24" hidden="1" customHeight="1" x14ac:dyDescent="0.25">
      <c r="B13" s="149"/>
      <c r="C13" s="150"/>
      <c r="D13" s="82" t="s">
        <v>167</v>
      </c>
      <c r="E13" s="151"/>
      <c r="F13" s="151" t="s">
        <v>19</v>
      </c>
      <c r="G13" s="151"/>
      <c r="H13" s="151"/>
      <c r="I13" s="151"/>
      <c r="J13" s="154" t="s">
        <v>168</v>
      </c>
      <c r="K13" s="151"/>
      <c r="L13" s="151"/>
      <c r="M13" s="151"/>
      <c r="N13" s="151"/>
      <c r="O13" s="151"/>
      <c r="P13" s="151"/>
      <c r="Q13" s="156"/>
      <c r="R13" s="156"/>
      <c r="S13" s="156"/>
    </row>
    <row r="14" spans="2:19" ht="24" hidden="1" customHeight="1" x14ac:dyDescent="0.25">
      <c r="B14" s="149"/>
      <c r="C14" s="150"/>
      <c r="D14" s="82" t="s">
        <v>169</v>
      </c>
      <c r="E14" s="151"/>
      <c r="F14" s="151" t="s">
        <v>19</v>
      </c>
      <c r="G14" s="151"/>
      <c r="H14" s="151"/>
      <c r="I14" s="151"/>
      <c r="J14" s="154" t="s">
        <v>168</v>
      </c>
      <c r="K14" s="151"/>
      <c r="L14" s="151"/>
      <c r="M14" s="151"/>
      <c r="N14" s="151"/>
      <c r="O14" s="151"/>
      <c r="P14" s="151"/>
      <c r="Q14" s="156"/>
      <c r="R14" s="156"/>
      <c r="S14" s="156"/>
    </row>
    <row r="15" spans="2:19" s="173" customFormat="1" hidden="1" x14ac:dyDescent="0.25">
      <c r="B15" s="168"/>
      <c r="C15" s="169"/>
      <c r="D15" s="170" t="s">
        <v>134</v>
      </c>
      <c r="E15" s="171"/>
      <c r="F15" s="171"/>
      <c r="G15" s="171"/>
      <c r="H15" s="171"/>
      <c r="I15" s="171"/>
      <c r="J15" s="212"/>
      <c r="K15" s="171"/>
      <c r="L15" s="171"/>
      <c r="M15" s="171"/>
      <c r="N15" s="171"/>
      <c r="O15" s="171"/>
      <c r="P15" s="171"/>
      <c r="Q15" s="172"/>
      <c r="R15" s="172"/>
      <c r="S15" s="172"/>
    </row>
    <row r="16" spans="2:19" hidden="1" x14ac:dyDescent="0.25">
      <c r="B16" s="149"/>
      <c r="C16" s="150"/>
      <c r="D16" s="82" t="s">
        <v>170</v>
      </c>
      <c r="E16" s="151"/>
      <c r="F16" s="151" t="s">
        <v>19</v>
      </c>
      <c r="G16" s="151"/>
      <c r="H16" s="151"/>
      <c r="I16" s="151"/>
      <c r="J16" s="154" t="s">
        <v>168</v>
      </c>
      <c r="K16" s="151"/>
      <c r="L16" s="151"/>
      <c r="M16" s="151"/>
      <c r="N16" s="151"/>
      <c r="O16" s="151"/>
      <c r="P16" s="151"/>
      <c r="Q16" s="156"/>
      <c r="R16" s="156"/>
      <c r="S16" s="156"/>
    </row>
    <row r="17" spans="2:19" ht="27.75" customHeight="1" x14ac:dyDescent="0.25">
      <c r="B17" s="149"/>
      <c r="C17" s="161" t="s">
        <v>23</v>
      </c>
      <c r="D17" s="82"/>
      <c r="E17" s="151">
        <f>SUM(E19:E37)</f>
        <v>3300</v>
      </c>
      <c r="F17" s="151"/>
      <c r="G17" s="151">
        <f>SUM(G21:G35)</f>
        <v>900</v>
      </c>
      <c r="H17" s="151"/>
      <c r="I17" s="151">
        <f>SUM(I19:I37)</f>
        <v>-900</v>
      </c>
      <c r="J17" s="154"/>
      <c r="K17" s="151"/>
      <c r="L17" s="151"/>
      <c r="M17" s="151"/>
      <c r="N17" s="151">
        <f>SUM(N19:N37)</f>
        <v>-3300</v>
      </c>
      <c r="O17" s="151"/>
      <c r="P17" s="151"/>
      <c r="Q17" s="156"/>
      <c r="R17" s="156"/>
      <c r="S17" s="156"/>
    </row>
    <row r="18" spans="2:19" ht="32.25" customHeight="1" x14ac:dyDescent="0.25">
      <c r="B18" s="149"/>
      <c r="C18" s="200" t="s">
        <v>196</v>
      </c>
      <c r="D18" s="174" t="s">
        <v>54</v>
      </c>
      <c r="E18" s="151"/>
      <c r="F18" s="151"/>
      <c r="G18" s="151"/>
      <c r="H18" s="151"/>
      <c r="I18" s="151"/>
      <c r="J18" s="154"/>
      <c r="K18" s="151"/>
      <c r="L18" s="151"/>
      <c r="M18" s="151"/>
      <c r="N18" s="151"/>
      <c r="O18" s="151"/>
      <c r="P18" s="151"/>
      <c r="Q18" s="156"/>
      <c r="R18" s="156"/>
      <c r="S18" s="156"/>
    </row>
    <row r="19" spans="2:19" ht="32.25" customHeight="1" x14ac:dyDescent="0.25">
      <c r="B19" s="149"/>
      <c r="C19" s="150"/>
      <c r="D19" s="82" t="s">
        <v>171</v>
      </c>
      <c r="E19" s="151"/>
      <c r="F19" s="151" t="s">
        <v>172</v>
      </c>
      <c r="G19" s="151"/>
      <c r="H19" s="151"/>
      <c r="I19" s="151">
        <f>H19</f>
        <v>0</v>
      </c>
      <c r="J19" s="213" t="s">
        <v>173</v>
      </c>
      <c r="K19" s="151"/>
      <c r="L19" s="151"/>
      <c r="M19" s="151"/>
      <c r="N19" s="151"/>
      <c r="O19" s="151"/>
      <c r="P19" s="151"/>
      <c r="Q19" s="156"/>
      <c r="R19" s="156"/>
      <c r="S19" s="156"/>
    </row>
    <row r="20" spans="2:19" s="173" customFormat="1" ht="32.25" customHeight="1" x14ac:dyDescent="0.25">
      <c r="B20" s="168"/>
      <c r="C20" s="169"/>
      <c r="D20" s="174" t="s">
        <v>24</v>
      </c>
      <c r="E20" s="171"/>
      <c r="F20" s="171"/>
      <c r="G20" s="171"/>
      <c r="H20" s="171"/>
      <c r="I20" s="171"/>
      <c r="J20" s="212"/>
      <c r="K20" s="171"/>
      <c r="L20" s="171"/>
      <c r="M20" s="171"/>
      <c r="N20" s="171"/>
      <c r="O20" s="171"/>
      <c r="P20" s="171"/>
      <c r="Q20" s="172"/>
      <c r="R20" s="172"/>
      <c r="S20" s="172"/>
    </row>
    <row r="21" spans="2:19" x14ac:dyDescent="0.25">
      <c r="B21" s="149"/>
      <c r="C21" s="150"/>
      <c r="D21" s="82" t="s">
        <v>47</v>
      </c>
      <c r="E21" s="151">
        <f>-'[14]FC7 TF JEV'!$H$167</f>
        <v>-900</v>
      </c>
      <c r="F21" s="226" t="s">
        <v>47</v>
      </c>
      <c r="G21" s="151">
        <v>900</v>
      </c>
      <c r="H21" s="151"/>
      <c r="I21" s="151">
        <f>E21</f>
        <v>-900</v>
      </c>
      <c r="J21" s="154" t="s">
        <v>190</v>
      </c>
      <c r="K21" s="151"/>
      <c r="L21" s="151">
        <f>G21</f>
        <v>900</v>
      </c>
      <c r="M21" s="151"/>
      <c r="N21" s="151">
        <f>L21</f>
        <v>900</v>
      </c>
      <c r="O21" s="151"/>
      <c r="P21" s="151"/>
      <c r="Q21" s="156"/>
      <c r="R21" s="156"/>
      <c r="S21" s="156"/>
    </row>
    <row r="22" spans="2:19" ht="32.25" customHeight="1" x14ac:dyDescent="0.25">
      <c r="B22" s="149"/>
      <c r="C22" s="150"/>
      <c r="D22" s="82" t="s">
        <v>55</v>
      </c>
      <c r="E22" s="151"/>
      <c r="F22" s="82" t="s">
        <v>172</v>
      </c>
      <c r="G22" s="151">
        <f>E22</f>
        <v>0</v>
      </c>
      <c r="H22" s="151"/>
      <c r="I22" s="151">
        <f>G22</f>
        <v>0</v>
      </c>
      <c r="J22" s="154" t="s">
        <v>174</v>
      </c>
      <c r="K22" s="151"/>
      <c r="L22" s="151"/>
      <c r="M22" s="151"/>
      <c r="N22" s="151"/>
      <c r="O22" s="151"/>
      <c r="P22" s="151"/>
      <c r="Q22" s="156"/>
      <c r="R22" s="156" t="s">
        <v>175</v>
      </c>
      <c r="S22" s="156"/>
    </row>
    <row r="23" spans="2:19" x14ac:dyDescent="0.25">
      <c r="B23" s="149"/>
      <c r="C23" s="150"/>
      <c r="D23" s="82" t="s">
        <v>34</v>
      </c>
      <c r="E23" s="151"/>
      <c r="F23" s="82" t="s">
        <v>34</v>
      </c>
      <c r="G23" s="151"/>
      <c r="H23" s="151"/>
      <c r="I23" s="151"/>
      <c r="J23" s="154" t="s">
        <v>176</v>
      </c>
      <c r="K23" s="151"/>
      <c r="L23" s="151"/>
      <c r="M23" s="151"/>
      <c r="N23" s="151"/>
      <c r="O23" s="151"/>
      <c r="P23" s="151"/>
      <c r="Q23" s="156"/>
      <c r="R23" s="156"/>
      <c r="S23" s="156"/>
    </row>
    <row r="24" spans="2:19" x14ac:dyDescent="0.25">
      <c r="B24" s="149"/>
      <c r="C24" s="150"/>
      <c r="D24" s="82" t="s">
        <v>42</v>
      </c>
      <c r="E24" s="151"/>
      <c r="F24" s="175" t="s">
        <v>42</v>
      </c>
      <c r="G24" s="153"/>
      <c r="H24" s="151"/>
      <c r="I24" s="151"/>
      <c r="J24" s="154" t="s">
        <v>25</v>
      </c>
      <c r="K24" s="151"/>
      <c r="L24" s="151"/>
      <c r="M24" s="151"/>
      <c r="N24" s="151"/>
      <c r="O24" s="151"/>
      <c r="P24" s="151"/>
      <c r="Q24" s="156"/>
      <c r="R24" s="156"/>
      <c r="S24" s="156"/>
    </row>
    <row r="25" spans="2:19" ht="32.25" customHeight="1" x14ac:dyDescent="0.25">
      <c r="B25" s="149"/>
      <c r="C25" s="150"/>
      <c r="D25" s="176" t="s">
        <v>29</v>
      </c>
      <c r="E25" s="151"/>
      <c r="F25" s="175" t="s">
        <v>29</v>
      </c>
      <c r="G25" s="177"/>
      <c r="H25" s="151"/>
      <c r="I25" s="151">
        <f>H25</f>
        <v>0</v>
      </c>
      <c r="J25" s="154" t="s">
        <v>174</v>
      </c>
      <c r="K25" s="151"/>
      <c r="L25" s="151"/>
      <c r="M25" s="151"/>
      <c r="N25" s="151"/>
      <c r="O25" s="151"/>
      <c r="P25" s="151"/>
      <c r="Q25" s="156"/>
      <c r="R25" s="156"/>
      <c r="S25" s="156"/>
    </row>
    <row r="26" spans="2:19" x14ac:dyDescent="0.25">
      <c r="B26" s="149"/>
      <c r="C26" s="150"/>
      <c r="D26" s="82" t="s">
        <v>177</v>
      </c>
      <c r="E26" s="151"/>
      <c r="F26" s="152" t="s">
        <v>178</v>
      </c>
      <c r="G26" s="153"/>
      <c r="H26" s="151"/>
      <c r="I26" s="151"/>
      <c r="J26" s="154" t="s">
        <v>179</v>
      </c>
      <c r="K26" s="151"/>
      <c r="L26" s="151"/>
      <c r="M26" s="151"/>
      <c r="N26" s="151"/>
      <c r="O26" s="151"/>
      <c r="P26" s="151"/>
      <c r="Q26" s="156"/>
      <c r="R26" s="156"/>
      <c r="S26" s="156"/>
    </row>
    <row r="27" spans="2:19" s="173" customFormat="1" x14ac:dyDescent="0.25">
      <c r="B27" s="168"/>
      <c r="C27" s="169"/>
      <c r="D27" s="170"/>
      <c r="E27" s="171"/>
      <c r="F27" s="171"/>
      <c r="G27" s="178"/>
      <c r="H27" s="171"/>
      <c r="I27" s="171"/>
      <c r="J27" s="212"/>
      <c r="K27" s="171"/>
      <c r="L27" s="171"/>
      <c r="M27" s="171"/>
      <c r="N27" s="151"/>
      <c r="O27" s="171"/>
      <c r="P27" s="171"/>
      <c r="Q27" s="172"/>
      <c r="R27" s="172"/>
      <c r="S27" s="172"/>
    </row>
    <row r="28" spans="2:19" x14ac:dyDescent="0.25">
      <c r="B28" s="149"/>
      <c r="C28" s="150"/>
      <c r="D28" s="82"/>
      <c r="E28" s="151"/>
      <c r="F28" s="152" t="s">
        <v>56</v>
      </c>
      <c r="G28" s="153"/>
      <c r="H28" s="151"/>
      <c r="I28" s="151"/>
      <c r="J28" s="154" t="s">
        <v>25</v>
      </c>
      <c r="K28" s="151"/>
      <c r="L28" s="151"/>
      <c r="M28" s="151"/>
      <c r="N28" s="151"/>
      <c r="O28" s="151"/>
      <c r="P28" s="151"/>
      <c r="Q28" s="156"/>
      <c r="R28" s="156"/>
      <c r="S28" s="156"/>
    </row>
    <row r="29" spans="2:19" s="173" customFormat="1" ht="32.25" customHeight="1" x14ac:dyDescent="0.25">
      <c r="B29" s="168"/>
      <c r="C29" s="169"/>
      <c r="D29" s="161" t="s">
        <v>180</v>
      </c>
      <c r="E29" s="171"/>
      <c r="F29" s="171"/>
      <c r="G29" s="171"/>
      <c r="H29" s="171"/>
      <c r="I29" s="171"/>
      <c r="J29" s="212"/>
      <c r="K29" s="171"/>
      <c r="L29" s="171"/>
      <c r="M29" s="171"/>
      <c r="N29" s="171"/>
      <c r="O29" s="171"/>
      <c r="P29" s="171"/>
      <c r="Q29" s="172"/>
      <c r="R29" s="172"/>
      <c r="S29" s="172"/>
    </row>
    <row r="30" spans="2:19" x14ac:dyDescent="0.25">
      <c r="B30" s="149"/>
      <c r="C30" s="150"/>
      <c r="D30" s="82" t="s">
        <v>181</v>
      </c>
      <c r="E30" s="151"/>
      <c r="F30" s="151" t="s">
        <v>34</v>
      </c>
      <c r="G30" s="151"/>
      <c r="H30" s="151"/>
      <c r="I30" s="151"/>
      <c r="J30" s="154" t="s">
        <v>182</v>
      </c>
      <c r="K30" s="151"/>
      <c r="L30" s="151"/>
      <c r="M30" s="151"/>
      <c r="N30" s="151"/>
      <c r="O30" s="151"/>
      <c r="P30" s="151"/>
      <c r="Q30" s="156"/>
      <c r="R30" s="156"/>
      <c r="S30" s="156"/>
    </row>
    <row r="31" spans="2:19" x14ac:dyDescent="0.25">
      <c r="B31" s="149"/>
      <c r="C31" s="150"/>
      <c r="D31" s="82" t="s">
        <v>67</v>
      </c>
      <c r="E31" s="151"/>
      <c r="F31" s="151" t="s">
        <v>34</v>
      </c>
      <c r="G31" s="151"/>
      <c r="H31" s="151"/>
      <c r="I31" s="151">
        <f>H31</f>
        <v>0</v>
      </c>
      <c r="J31" s="154" t="s">
        <v>68</v>
      </c>
      <c r="K31" s="151"/>
      <c r="L31" s="151"/>
      <c r="M31" s="151"/>
      <c r="N31" s="151"/>
      <c r="O31" s="151"/>
      <c r="P31" s="151"/>
      <c r="Q31" s="156"/>
      <c r="R31" s="156"/>
      <c r="S31" s="156"/>
    </row>
    <row r="32" spans="2:19" ht="32.25" customHeight="1" x14ac:dyDescent="0.25">
      <c r="B32" s="149"/>
      <c r="C32" s="150"/>
      <c r="D32" s="82" t="s">
        <v>183</v>
      </c>
      <c r="E32" s="151"/>
      <c r="F32" s="151" t="s">
        <v>34</v>
      </c>
      <c r="G32" s="151"/>
      <c r="H32" s="151"/>
      <c r="I32" s="151">
        <f>H32</f>
        <v>0</v>
      </c>
      <c r="J32" s="154" t="s">
        <v>182</v>
      </c>
      <c r="K32" s="151"/>
      <c r="L32" s="151"/>
      <c r="M32" s="151"/>
      <c r="N32" s="151"/>
      <c r="O32" s="151"/>
      <c r="P32" s="151"/>
      <c r="Q32" s="156"/>
      <c r="R32" s="156"/>
      <c r="S32" s="156"/>
    </row>
    <row r="33" spans="2:20" x14ac:dyDescent="0.25">
      <c r="B33" s="149"/>
      <c r="C33" s="150"/>
      <c r="D33" s="82" t="s">
        <v>67</v>
      </c>
      <c r="E33" s="151"/>
      <c r="F33" s="151" t="s">
        <v>34</v>
      </c>
      <c r="G33" s="151"/>
      <c r="H33" s="151"/>
      <c r="I33" s="151">
        <f>G33*-1</f>
        <v>0</v>
      </c>
      <c r="J33" s="154" t="s">
        <v>68</v>
      </c>
      <c r="K33" s="151"/>
      <c r="L33" s="151"/>
      <c r="M33" s="151"/>
      <c r="N33" s="151">
        <f>L33</f>
        <v>0</v>
      </c>
      <c r="O33" s="151"/>
      <c r="P33" s="151"/>
      <c r="Q33" s="156"/>
      <c r="R33" s="156"/>
      <c r="S33" s="156"/>
    </row>
    <row r="34" spans="2:20" x14ac:dyDescent="0.25">
      <c r="B34" s="149"/>
      <c r="C34" s="150"/>
      <c r="D34" s="82" t="s">
        <v>184</v>
      </c>
      <c r="E34" s="151"/>
      <c r="F34" s="151" t="s">
        <v>34</v>
      </c>
      <c r="G34" s="151"/>
      <c r="H34" s="151"/>
      <c r="I34" s="151"/>
      <c r="J34" s="154" t="s">
        <v>62</v>
      </c>
      <c r="K34" s="151"/>
      <c r="L34" s="151"/>
      <c r="M34" s="151"/>
      <c r="N34" s="151"/>
      <c r="O34" s="151"/>
      <c r="P34" s="151"/>
      <c r="Q34" s="156"/>
      <c r="R34" s="156"/>
      <c r="S34" s="156"/>
    </row>
    <row r="35" spans="2:20" x14ac:dyDescent="0.25">
      <c r="B35" s="149"/>
      <c r="C35" s="150"/>
      <c r="D35" s="225" t="s">
        <v>200</v>
      </c>
      <c r="E35" s="151"/>
      <c r="F35" s="151"/>
      <c r="G35" s="151"/>
      <c r="H35" s="151"/>
      <c r="I35" s="151"/>
      <c r="J35" s="154"/>
      <c r="K35" s="151"/>
      <c r="L35" s="151"/>
      <c r="M35" s="151"/>
      <c r="N35" s="151"/>
      <c r="O35" s="151"/>
      <c r="P35" s="151"/>
      <c r="Q35" s="156"/>
      <c r="R35" s="156"/>
      <c r="S35" s="156"/>
    </row>
    <row r="36" spans="2:20" x14ac:dyDescent="0.25">
      <c r="B36" s="149"/>
      <c r="C36" s="150"/>
      <c r="D36" s="82" t="s">
        <v>201</v>
      </c>
      <c r="E36" s="151">
        <f>'[14]FC7 TF JEV'!$I$145</f>
        <v>4200</v>
      </c>
      <c r="F36" s="151"/>
      <c r="G36" s="151"/>
      <c r="H36" s="151"/>
      <c r="I36" s="151"/>
      <c r="J36" s="154" t="s">
        <v>190</v>
      </c>
      <c r="K36" s="151">
        <f>E36</f>
        <v>4200</v>
      </c>
      <c r="L36" s="151"/>
      <c r="M36" s="151"/>
      <c r="N36" s="151">
        <f>-K36</f>
        <v>-4200</v>
      </c>
      <c r="O36" s="151">
        <f>E36</f>
        <v>4200</v>
      </c>
      <c r="P36" s="151"/>
      <c r="Q36" s="156"/>
      <c r="R36" s="156"/>
      <c r="S36" s="156"/>
    </row>
    <row r="37" spans="2:20" x14ac:dyDescent="0.25">
      <c r="B37" s="149"/>
      <c r="C37" s="150"/>
      <c r="D37" s="179"/>
      <c r="E37" s="151"/>
      <c r="F37" s="151"/>
      <c r="G37" s="151"/>
      <c r="H37" s="151"/>
      <c r="I37" s="151"/>
      <c r="J37" s="154"/>
      <c r="K37" s="151"/>
      <c r="L37" s="151"/>
      <c r="M37" s="151"/>
      <c r="N37" s="151"/>
      <c r="O37" s="151"/>
      <c r="P37" s="151"/>
      <c r="Q37" s="156"/>
      <c r="R37" s="156"/>
      <c r="S37" s="156"/>
    </row>
    <row r="38" spans="2:20" s="165" customFormat="1" ht="32.25" customHeight="1" x14ac:dyDescent="0.25">
      <c r="B38" s="126" t="s">
        <v>189</v>
      </c>
      <c r="C38" s="161"/>
      <c r="D38" s="162"/>
      <c r="E38" s="163">
        <f>E9+E11+E17</f>
        <v>6704797.0099999998</v>
      </c>
      <c r="F38" s="163">
        <f>SUM(F9:F31)</f>
        <v>0</v>
      </c>
      <c r="G38" s="163"/>
      <c r="H38" s="163"/>
      <c r="I38" s="163">
        <f>SUM(I17+I11)</f>
        <v>-900</v>
      </c>
      <c r="J38" s="201">
        <f>SUM(J9:J31)</f>
        <v>0</v>
      </c>
      <c r="K38" s="163"/>
      <c r="L38" s="163"/>
      <c r="M38" s="163">
        <f>M17+M11</f>
        <v>0</v>
      </c>
      <c r="N38" s="163">
        <f>N17+N11</f>
        <v>-3300</v>
      </c>
      <c r="O38" s="163">
        <f>SUM(O9:O37)</f>
        <v>4200</v>
      </c>
      <c r="P38" s="163">
        <f>SUM(P9:P31)</f>
        <v>0</v>
      </c>
      <c r="Q38" s="164"/>
      <c r="R38" s="164"/>
      <c r="S38" s="164"/>
    </row>
    <row r="39" spans="2:20" x14ac:dyDescent="0.25">
      <c r="B39" s="173"/>
      <c r="E39" s="156">
        <f>E38-[37]TB!$Y$104</f>
        <v>0</v>
      </c>
      <c r="F39" s="180"/>
      <c r="I39" s="167">
        <f>G38-H38</f>
        <v>0</v>
      </c>
      <c r="J39" s="214"/>
      <c r="K39" s="156"/>
      <c r="L39" s="156"/>
      <c r="M39" s="156"/>
      <c r="N39" s="156"/>
      <c r="O39" s="156"/>
      <c r="P39" s="156"/>
      <c r="Q39" s="156"/>
      <c r="R39" s="156"/>
      <c r="S39" s="156"/>
    </row>
    <row r="40" spans="2:20" ht="24" customHeight="1" x14ac:dyDescent="0.25">
      <c r="B40" s="173"/>
      <c r="D40" s="155" t="s">
        <v>74</v>
      </c>
      <c r="I40" s="167"/>
      <c r="J40" s="148" t="s">
        <v>76</v>
      </c>
      <c r="K40" s="156"/>
      <c r="L40" s="156"/>
      <c r="M40" s="156"/>
      <c r="N40" s="167"/>
      <c r="O40" s="155" t="s">
        <v>77</v>
      </c>
      <c r="P40" s="156"/>
      <c r="Q40" s="156"/>
      <c r="R40" s="156"/>
      <c r="S40" s="156"/>
    </row>
    <row r="41" spans="2:20" ht="24" customHeight="1" x14ac:dyDescent="0.25">
      <c r="D41" s="148" t="s">
        <v>78</v>
      </c>
      <c r="E41" s="156">
        <f>E38</f>
        <v>6704797.0099999998</v>
      </c>
      <c r="I41" s="167"/>
      <c r="J41" s="214"/>
      <c r="K41" s="156" t="s">
        <v>79</v>
      </c>
      <c r="M41" s="156">
        <f>M38</f>
        <v>0</v>
      </c>
      <c r="N41" s="156"/>
      <c r="O41" s="156"/>
      <c r="P41" s="156"/>
      <c r="Q41" s="156"/>
      <c r="R41" s="156"/>
      <c r="S41" s="156"/>
    </row>
    <row r="42" spans="2:20" ht="24" customHeight="1" x14ac:dyDescent="0.25">
      <c r="D42" s="148" t="s">
        <v>80</v>
      </c>
      <c r="E42" s="181">
        <f>E9</f>
        <v>6701497.0099999998</v>
      </c>
      <c r="J42" s="214"/>
      <c r="K42" s="156" t="s">
        <v>81</v>
      </c>
      <c r="M42" s="181">
        <f>N38</f>
        <v>-3300</v>
      </c>
      <c r="N42" s="156"/>
      <c r="O42" s="156"/>
      <c r="P42" s="156"/>
      <c r="Q42" s="156"/>
      <c r="R42" s="156"/>
      <c r="S42" s="156"/>
    </row>
    <row r="43" spans="2:20" ht="24" customHeight="1" x14ac:dyDescent="0.25">
      <c r="D43" s="148" t="s">
        <v>82</v>
      </c>
      <c r="E43" s="164">
        <f>+E41-E42</f>
        <v>3300</v>
      </c>
      <c r="I43" s="166"/>
      <c r="J43" s="214"/>
      <c r="K43" s="156" t="s">
        <v>84</v>
      </c>
      <c r="M43" s="164">
        <f>M41-M42</f>
        <v>3300</v>
      </c>
      <c r="N43" s="156"/>
      <c r="O43" s="156" t="s">
        <v>84</v>
      </c>
      <c r="P43" s="164">
        <f>O38</f>
        <v>4200</v>
      </c>
      <c r="Q43" s="156"/>
      <c r="R43" s="156"/>
      <c r="S43" s="156"/>
    </row>
    <row r="44" spans="2:20" x14ac:dyDescent="0.25">
      <c r="I44" s="167"/>
      <c r="J44" s="214"/>
      <c r="K44" s="156" t="s">
        <v>85</v>
      </c>
      <c r="L44" s="156"/>
      <c r="M44" s="156"/>
      <c r="N44" s="164">
        <f>M41-M42</f>
        <v>3300</v>
      </c>
      <c r="O44" s="156"/>
      <c r="P44" s="156"/>
      <c r="Q44" s="156"/>
      <c r="R44" s="156"/>
      <c r="S44" s="156"/>
    </row>
    <row r="45" spans="2:20" x14ac:dyDescent="0.25">
      <c r="D45" s="167"/>
      <c r="E45" s="182"/>
      <c r="J45" s="214"/>
      <c r="K45" s="156"/>
      <c r="L45" s="156"/>
      <c r="M45" s="156"/>
      <c r="N45" s="156">
        <f>N44-E43</f>
        <v>0</v>
      </c>
      <c r="O45" s="156"/>
      <c r="P45" s="183"/>
      <c r="Q45" s="183"/>
      <c r="R45" s="183" t="s">
        <v>86</v>
      </c>
      <c r="S45" s="183" t="s">
        <v>87</v>
      </c>
      <c r="T45" s="184" t="s">
        <v>185</v>
      </c>
    </row>
    <row r="46" spans="2:20" x14ac:dyDescent="0.25">
      <c r="E46" s="185"/>
      <c r="J46" s="214"/>
      <c r="K46" s="156"/>
      <c r="L46" s="156"/>
      <c r="M46" s="156"/>
      <c r="N46" s="156"/>
      <c r="O46" s="156"/>
      <c r="P46" s="183" t="s">
        <v>186</v>
      </c>
      <c r="Q46" s="183">
        <f>-4074405.47</f>
        <v>-4074405.47</v>
      </c>
      <c r="R46" s="184"/>
      <c r="S46" s="183"/>
      <c r="T46" s="184"/>
    </row>
    <row r="47" spans="2:20" x14ac:dyDescent="0.25">
      <c r="D47" s="155" t="s">
        <v>88</v>
      </c>
      <c r="J47" s="214"/>
      <c r="K47" s="156" t="s">
        <v>89</v>
      </c>
      <c r="L47" s="156"/>
      <c r="M47" s="156"/>
      <c r="N47" s="156"/>
      <c r="O47" s="156"/>
      <c r="P47" s="183" t="s">
        <v>155</v>
      </c>
      <c r="Q47" s="183">
        <f>22029704.73-16100096.25</f>
        <v>5929608.4800000004</v>
      </c>
      <c r="R47" s="183">
        <v>-16100096.25</v>
      </c>
      <c r="S47" s="183">
        <v>0</v>
      </c>
      <c r="T47" s="183">
        <v>22029704.73</v>
      </c>
    </row>
    <row r="48" spans="2:20" x14ac:dyDescent="0.25">
      <c r="J48" s="214"/>
      <c r="K48" s="156"/>
      <c r="L48" s="156"/>
      <c r="M48" s="156"/>
      <c r="N48" s="156"/>
      <c r="O48" s="156"/>
      <c r="P48" s="183" t="s">
        <v>156</v>
      </c>
      <c r="Q48" s="183">
        <f>SUM(Q46:Q47)</f>
        <v>1855203.0100000002</v>
      </c>
      <c r="R48" s="183">
        <f>Q46+R47</f>
        <v>-20174501.719999999</v>
      </c>
      <c r="S48" s="183">
        <f>R48+S47</f>
        <v>-20174501.719999999</v>
      </c>
      <c r="T48" s="186">
        <f>S48+T47</f>
        <v>1855203.0100000016</v>
      </c>
    </row>
    <row r="49" spans="4:20" x14ac:dyDescent="0.25">
      <c r="J49" s="214"/>
      <c r="K49" s="156"/>
      <c r="L49" s="156"/>
      <c r="M49" s="156"/>
      <c r="N49" s="156"/>
      <c r="O49" s="156"/>
      <c r="P49" s="183"/>
      <c r="Q49" s="183"/>
      <c r="R49" s="183"/>
      <c r="S49" s="183"/>
      <c r="T49" s="184"/>
    </row>
    <row r="50" spans="4:20" ht="16.5" x14ac:dyDescent="0.25">
      <c r="D50" s="190" t="s">
        <v>187</v>
      </c>
      <c r="E50" s="187"/>
      <c r="F50" s="187"/>
      <c r="J50" s="215"/>
      <c r="K50" s="521" t="s">
        <v>90</v>
      </c>
      <c r="L50" s="521"/>
      <c r="M50" s="521"/>
      <c r="N50" s="188"/>
      <c r="O50" s="188"/>
      <c r="P50" s="189"/>
      <c r="Q50" s="183"/>
      <c r="R50" s="183"/>
      <c r="S50" s="183"/>
      <c r="T50" s="184"/>
    </row>
    <row r="51" spans="4:20" x14ac:dyDescent="0.25">
      <c r="D51" s="158" t="s">
        <v>91</v>
      </c>
      <c r="E51" s="158"/>
      <c r="F51" s="158"/>
      <c r="J51" s="214"/>
      <c r="K51" s="158" t="s">
        <v>92</v>
      </c>
      <c r="L51" s="158"/>
      <c r="M51" s="158"/>
      <c r="N51" s="156"/>
      <c r="O51" s="156"/>
      <c r="P51" s="156"/>
      <c r="Q51" s="156"/>
      <c r="R51" s="156"/>
      <c r="S51" s="156"/>
    </row>
    <row r="58" spans="4:20" x14ac:dyDescent="0.25">
      <c r="E58" s="155"/>
      <c r="J58" s="214"/>
    </row>
    <row r="59" spans="4:20" x14ac:dyDescent="0.25">
      <c r="E59" s="155"/>
      <c r="J59" s="214"/>
    </row>
    <row r="60" spans="4:20" x14ac:dyDescent="0.25">
      <c r="E60" s="155"/>
      <c r="J60" s="214"/>
    </row>
  </sheetData>
  <mergeCells count="8">
    <mergeCell ref="O6:P8"/>
    <mergeCell ref="F7:I7"/>
    <mergeCell ref="J7:N7"/>
    <mergeCell ref="B9:D9"/>
    <mergeCell ref="K50:M50"/>
    <mergeCell ref="B6:D8"/>
    <mergeCell ref="E6:E8"/>
    <mergeCell ref="F6:N6"/>
  </mergeCells>
  <pageMargins left="0.59055118110236227" right="0.59055118110236227" top="0.74803149606299213" bottom="0.74803149606299213" header="0.31496062992125984" footer="0.31496062992125984"/>
  <pageSetup paperSize="9" scale="42" fitToHeight="0" orientation="landscape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P10316"/>
  <sheetViews>
    <sheetView topLeftCell="BF13" zoomScale="145" zoomScaleNormal="145" workbookViewId="0">
      <selection activeCell="BP27" sqref="BP27"/>
    </sheetView>
  </sheetViews>
  <sheetFormatPr defaultRowHeight="15" x14ac:dyDescent="0.25"/>
  <cols>
    <col min="1" max="1" width="18.7109375" hidden="1" customWidth="1"/>
    <col min="2" max="2" width="27" style="4" hidden="1" customWidth="1"/>
    <col min="3" max="3" width="28.28515625" style="4" hidden="1" customWidth="1"/>
    <col min="4" max="4" width="22.28515625" style="4" hidden="1" customWidth="1"/>
    <col min="5" max="5" width="19.7109375" style="4" hidden="1" customWidth="1"/>
    <col min="6" max="6" width="18.140625" style="361" hidden="1" customWidth="1"/>
    <col min="7" max="7" width="26.28515625" style="4" hidden="1" customWidth="1"/>
    <col min="8" max="8" width="13.140625" style="4" hidden="1" customWidth="1"/>
    <col min="9" max="9" width="13.140625" style="341" hidden="1" customWidth="1"/>
    <col min="10" max="10" width="19.7109375" style="340" customWidth="1"/>
    <col min="11" max="11" width="34.5703125" style="343" hidden="1" customWidth="1"/>
    <col min="12" max="12" width="23.5703125" style="343" hidden="1" customWidth="1"/>
    <col min="13" max="13" width="13.140625" style="343" hidden="1" customWidth="1"/>
    <col min="14" max="14" width="19.7109375" style="343" hidden="1" customWidth="1"/>
    <col min="15" max="15" width="15.140625" style="343" hidden="1" customWidth="1"/>
    <col min="16" max="16" width="11" style="343" hidden="1" customWidth="1"/>
    <col min="17" max="17" width="7.42578125" style="343" hidden="1" customWidth="1"/>
    <col min="18" max="18" width="14" style="343" hidden="1" customWidth="1"/>
    <col min="19" max="19" width="21.5703125" style="344" hidden="1" customWidth="1"/>
    <col min="20" max="20" width="17" style="340" hidden="1" customWidth="1"/>
    <col min="21" max="21" width="13.140625" style="343" hidden="1" customWidth="1"/>
    <col min="22" max="22" width="21.7109375" style="343" hidden="1" customWidth="1"/>
    <col min="23" max="23" width="20" style="343" hidden="1" customWidth="1"/>
    <col min="24" max="24" width="13.140625" style="343" hidden="1" customWidth="1"/>
    <col min="25" max="25" width="21.140625" style="340" hidden="1" customWidth="1"/>
    <col min="26" max="26" width="9.140625" style="343" hidden="1" customWidth="1"/>
    <col min="27" max="27" width="13.140625" style="343" hidden="1" customWidth="1"/>
    <col min="28" max="28" width="22.5703125" style="340" hidden="1" customWidth="1"/>
    <col min="29" max="29" width="15.28515625" style="340" hidden="1" customWidth="1"/>
    <col min="30" max="30" width="15.5703125" style="343" hidden="1" customWidth="1"/>
    <col min="31" max="31" width="0" style="343" hidden="1" customWidth="1"/>
    <col min="32" max="32" width="13.140625" style="343" hidden="1" customWidth="1"/>
    <col min="33" max="33" width="17.85546875" style="402" customWidth="1"/>
    <col min="34" max="34" width="33.5703125" style="343" bestFit="1" customWidth="1"/>
    <col min="35" max="35" width="16.28515625" style="343" bestFit="1" customWidth="1"/>
    <col min="36" max="36" width="13.140625" style="343" customWidth="1"/>
    <col min="37" max="37" width="18.42578125" style="340" customWidth="1"/>
    <col min="38" max="39" width="11.7109375" style="343" customWidth="1"/>
    <col min="40" max="40" width="25.42578125" style="343" customWidth="1"/>
    <col min="41" max="41" width="21" style="343" customWidth="1"/>
    <col min="42" max="42" width="16.28515625" style="343" bestFit="1" customWidth="1"/>
    <col min="43" max="43" width="13.140625" style="343" customWidth="1"/>
    <col min="44" max="44" width="20" style="343" bestFit="1" customWidth="1"/>
    <col min="45" max="46" width="16.28515625" style="343" bestFit="1" customWidth="1"/>
    <col min="47" max="47" width="19" style="343" customWidth="1"/>
    <col min="48" max="50" width="16.28515625" style="343" bestFit="1" customWidth="1"/>
    <col min="51" max="51" width="29.28515625" style="343" customWidth="1"/>
    <col min="52" max="52" width="16.28515625" style="340" bestFit="1" customWidth="1"/>
    <col min="53" max="54" width="16.28515625" style="343" bestFit="1" customWidth="1"/>
    <col min="55" max="55" width="17.7109375" style="343" bestFit="1" customWidth="1"/>
    <col min="56" max="56" width="23.140625" style="438" customWidth="1"/>
    <col min="57" max="57" width="12.140625" style="343" customWidth="1"/>
    <col min="58" max="58" width="9.140625" style="343"/>
    <col min="59" max="59" width="19" style="343" customWidth="1"/>
    <col min="60" max="60" width="15.7109375" style="340" customWidth="1"/>
    <col min="61" max="62" width="9.140625" style="343"/>
    <col min="63" max="63" width="11.7109375" style="343" bestFit="1" customWidth="1"/>
    <col min="64" max="64" width="14.5703125" style="343" bestFit="1" customWidth="1"/>
    <col min="65" max="66" width="9.140625" style="343"/>
    <col min="67" max="67" width="18.85546875" style="343" customWidth="1"/>
    <col min="68" max="68" width="13.28515625" style="340" bestFit="1" customWidth="1"/>
    <col min="69" max="16384" width="9.140625" style="343"/>
  </cols>
  <sheetData>
    <row r="1" spans="1:68" s="358" customFormat="1" ht="33" customHeight="1" x14ac:dyDescent="0.25">
      <c r="A1" s="472" t="s">
        <v>337</v>
      </c>
      <c r="B1" s="472"/>
      <c r="C1" s="472"/>
      <c r="D1" s="472"/>
      <c r="E1" s="355"/>
      <c r="F1" s="472" t="s">
        <v>349</v>
      </c>
      <c r="G1" s="472"/>
      <c r="H1" s="472"/>
      <c r="I1" s="472"/>
      <c r="J1" s="357"/>
      <c r="K1" s="472" t="s">
        <v>349</v>
      </c>
      <c r="L1" s="472"/>
      <c r="M1" s="472"/>
      <c r="N1" s="472"/>
      <c r="S1" s="473" t="s">
        <v>375</v>
      </c>
      <c r="T1" s="474"/>
      <c r="U1" s="474"/>
      <c r="Y1" s="359"/>
      <c r="AB1" s="356"/>
      <c r="AC1" s="356"/>
      <c r="AG1" s="473" t="s">
        <v>399</v>
      </c>
      <c r="AH1" s="474"/>
      <c r="AI1" s="474"/>
      <c r="AK1" s="359"/>
      <c r="AN1" s="473" t="s">
        <v>422</v>
      </c>
      <c r="AO1" s="474"/>
      <c r="AP1" s="474"/>
      <c r="AU1" s="473" t="s">
        <v>429</v>
      </c>
      <c r="AV1" s="474"/>
      <c r="AW1" s="474"/>
      <c r="AY1" s="473" t="s">
        <v>443</v>
      </c>
      <c r="AZ1" s="474"/>
      <c r="BA1" s="474"/>
      <c r="BC1" s="473" t="s">
        <v>449</v>
      </c>
      <c r="BD1" s="474"/>
      <c r="BE1" s="474"/>
      <c r="BG1" s="440" t="s">
        <v>450</v>
      </c>
      <c r="BH1" s="359"/>
      <c r="BK1" s="440" t="s">
        <v>454</v>
      </c>
      <c r="BO1" s="440" t="s">
        <v>462</v>
      </c>
      <c r="BP1" s="359"/>
    </row>
    <row r="2" spans="1:68" x14ac:dyDescent="0.25">
      <c r="A2" s="337" t="s">
        <v>251</v>
      </c>
      <c r="B2" s="244">
        <v>-124970.56</v>
      </c>
      <c r="C2" s="4">
        <f>D9-B2</f>
        <v>0</v>
      </c>
      <c r="F2" s="337" t="s">
        <v>251</v>
      </c>
      <c r="G2" s="244">
        <f>-[19]TB!$F$123+[19]TB!$G$123</f>
        <v>-2361246.7499999995</v>
      </c>
      <c r="H2" s="4">
        <f>G2-G9</f>
        <v>0</v>
      </c>
      <c r="I2" s="342"/>
      <c r="K2" s="337" t="s">
        <v>251</v>
      </c>
      <c r="L2" s="244">
        <f>-[20]TB!$F$123+[20]TB!$G$123</f>
        <v>-6252875.0499999998</v>
      </c>
      <c r="N2" s="371" t="s">
        <v>362</v>
      </c>
      <c r="O2" s="372">
        <f>-[21]SDO!$H$629+-[21]SDO!$H$707</f>
        <v>-7385425.0099999998</v>
      </c>
      <c r="S2" s="337" t="s">
        <v>251</v>
      </c>
      <c r="T2" s="340">
        <v>-16435509.550000001</v>
      </c>
      <c r="U2" s="340">
        <v>3114.98</v>
      </c>
      <c r="V2" s="345">
        <f>T2+U2</f>
        <v>-16432394.57</v>
      </c>
      <c r="AG2" s="336" t="s">
        <v>251</v>
      </c>
      <c r="AH2" s="373">
        <v>-871078.46</v>
      </c>
      <c r="AI2" s="340"/>
      <c r="AN2" s="343" t="s">
        <v>417</v>
      </c>
      <c r="AO2" s="340"/>
      <c r="AU2" s="343" t="s">
        <v>430</v>
      </c>
      <c r="AV2" s="340">
        <v>30000</v>
      </c>
      <c r="AY2" s="343" t="s">
        <v>444</v>
      </c>
      <c r="AZ2" s="340">
        <v>-94800</v>
      </c>
      <c r="BC2" s="343" t="s">
        <v>444</v>
      </c>
      <c r="BD2" s="438">
        <f>SUM(BD3:BD7)</f>
        <v>-151626.89000000001</v>
      </c>
      <c r="BE2" s="340"/>
    </row>
    <row r="3" spans="1:68" x14ac:dyDescent="0.25">
      <c r="A3" s="337" t="s">
        <v>252</v>
      </c>
      <c r="B3" s="244">
        <v>-783135.31</v>
      </c>
      <c r="C3" s="4">
        <f>B3-B42</f>
        <v>0</v>
      </c>
      <c r="F3" s="337" t="s">
        <v>252</v>
      </c>
      <c r="G3" s="244">
        <f>-[19]Control!$F$119+[19]Control!$G$119</f>
        <v>-956139.58000000007</v>
      </c>
      <c r="H3" s="4">
        <f>G3-G44</f>
        <v>0</v>
      </c>
      <c r="I3" s="342"/>
      <c r="K3" s="337" t="s">
        <v>252</v>
      </c>
      <c r="L3" s="244">
        <v>-8817353.0999999996</v>
      </c>
      <c r="N3" s="371" t="s">
        <v>367</v>
      </c>
      <c r="O3" s="373">
        <v>-3886438.2</v>
      </c>
      <c r="S3" s="337" t="s">
        <v>252</v>
      </c>
      <c r="T3" s="340">
        <v>-1472260</v>
      </c>
      <c r="U3" s="340">
        <v>265000</v>
      </c>
      <c r="V3" s="345">
        <f>T3+U3</f>
        <v>-1207260</v>
      </c>
      <c r="AG3" s="336" t="s">
        <v>252</v>
      </c>
      <c r="AH3" s="373">
        <v>-695938.21</v>
      </c>
      <c r="AI3" s="340"/>
      <c r="AN3" s="371">
        <v>1060503100</v>
      </c>
      <c r="AO3" s="373">
        <v>-17375</v>
      </c>
      <c r="AU3" s="343">
        <v>5029905001</v>
      </c>
      <c r="AV3" s="340">
        <f>-30000</f>
        <v>-30000</v>
      </c>
      <c r="AY3" s="343">
        <v>5020201002</v>
      </c>
      <c r="AZ3" s="340">
        <v>-94800</v>
      </c>
      <c r="BC3" s="343">
        <v>5021199000</v>
      </c>
      <c r="BD3" s="438">
        <v>-14313.89</v>
      </c>
      <c r="BE3" s="345"/>
      <c r="BG3" s="343">
        <v>1030303000</v>
      </c>
      <c r="BH3" s="340">
        <v>-15146532.310000001</v>
      </c>
      <c r="BK3" s="343" t="s">
        <v>455</v>
      </c>
      <c r="BO3" s="343" t="s">
        <v>463</v>
      </c>
    </row>
    <row r="4" spans="1:68" x14ac:dyDescent="0.25">
      <c r="A4" s="337" t="s">
        <v>253</v>
      </c>
      <c r="B4" s="244">
        <v>-91983772.949999988</v>
      </c>
      <c r="C4"/>
      <c r="F4" s="337" t="s">
        <v>253</v>
      </c>
      <c r="G4" s="244">
        <f>-[19]Control!$N$119</f>
        <v>-49865532.290000014</v>
      </c>
      <c r="I4" s="342"/>
      <c r="J4" s="342"/>
      <c r="K4" s="337" t="s">
        <v>253</v>
      </c>
      <c r="L4" s="244">
        <v>-20155688.210000001</v>
      </c>
      <c r="N4" s="371" t="s">
        <v>368</v>
      </c>
      <c r="O4" s="373">
        <v>-234887.5</v>
      </c>
      <c r="S4" s="386" t="s">
        <v>253</v>
      </c>
      <c r="T4" s="387">
        <v>-88204993.890000001</v>
      </c>
      <c r="U4" s="340"/>
      <c r="AB4" s="342"/>
      <c r="AC4" s="342"/>
      <c r="AD4" s="345"/>
      <c r="AG4" s="404" t="s">
        <v>253</v>
      </c>
      <c r="AH4" s="405">
        <v>-43882772.829999998</v>
      </c>
      <c r="AI4" s="340"/>
      <c r="AN4" s="371" t="s">
        <v>418</v>
      </c>
      <c r="AO4" s="373"/>
      <c r="AU4" s="343">
        <v>5029905001</v>
      </c>
      <c r="AV4" s="340">
        <v>0.01</v>
      </c>
      <c r="BC4" s="343">
        <v>5010102000</v>
      </c>
      <c r="BD4" s="438">
        <v>-17313</v>
      </c>
      <c r="BE4" s="345"/>
      <c r="BG4" s="343">
        <v>1030303000</v>
      </c>
      <c r="BH4" s="340">
        <v>72568379.480000004</v>
      </c>
      <c r="BK4" s="343" t="s">
        <v>456</v>
      </c>
      <c r="BL4" s="340">
        <v>-11383651.683999777</v>
      </c>
      <c r="BO4" s="343">
        <v>5010102000</v>
      </c>
      <c r="BP4" s="340">
        <v>-51431.21</v>
      </c>
    </row>
    <row r="5" spans="1:68" x14ac:dyDescent="0.25">
      <c r="A5" s="337" t="s">
        <v>338</v>
      </c>
      <c r="B5" s="244">
        <v>-99646.95</v>
      </c>
      <c r="F5" s="337" t="s">
        <v>338</v>
      </c>
      <c r="I5" s="342"/>
      <c r="J5" s="342"/>
      <c r="K5" s="337" t="s">
        <v>338</v>
      </c>
      <c r="L5" s="4"/>
      <c r="N5" s="371" t="s">
        <v>371</v>
      </c>
      <c r="O5" s="373">
        <v>-20105968.010000002</v>
      </c>
      <c r="S5" s="337" t="s">
        <v>338</v>
      </c>
      <c r="U5" s="340"/>
      <c r="AB5" s="342"/>
      <c r="AD5" s="345"/>
      <c r="AG5" s="337"/>
      <c r="AH5" s="340"/>
      <c r="AI5" s="340"/>
      <c r="AN5" s="371">
        <v>5021499000</v>
      </c>
      <c r="AO5" s="373">
        <v>-300000</v>
      </c>
      <c r="AV5" s="340"/>
      <c r="BC5" s="343">
        <v>5020201002</v>
      </c>
      <c r="BD5" s="438">
        <v>-120000</v>
      </c>
      <c r="BE5" s="345"/>
      <c r="BH5" s="340">
        <v>57421847.170000002</v>
      </c>
    </row>
    <row r="6" spans="1:68" x14ac:dyDescent="0.25">
      <c r="A6" s="337" t="s">
        <v>254</v>
      </c>
      <c r="B6" s="244">
        <v>-283457299.07999992</v>
      </c>
      <c r="C6" s="248">
        <f>B6-B86</f>
        <v>0</v>
      </c>
      <c r="F6" s="337" t="s">
        <v>254</v>
      </c>
      <c r="G6" s="244">
        <f>-[19]Control!$D$119+[19]Control!$E$119</f>
        <v>-207923384.89916667</v>
      </c>
      <c r="H6" s="4">
        <f>G6-G72</f>
        <v>0</v>
      </c>
      <c r="I6" s="340"/>
      <c r="K6" s="337" t="s">
        <v>358</v>
      </c>
      <c r="L6" s="4">
        <f>-[20]TB!$R$123+[20]TB!$S$123</f>
        <v>17959.490000000002</v>
      </c>
      <c r="N6" s="374" t="s">
        <v>373</v>
      </c>
      <c r="O6" s="375">
        <v>-81901833.269999996</v>
      </c>
      <c r="S6" s="386" t="s">
        <v>385</v>
      </c>
      <c r="T6" s="387">
        <v>-6284000</v>
      </c>
      <c r="U6" s="340"/>
      <c r="AG6" s="404" t="s">
        <v>385</v>
      </c>
      <c r="AH6" s="405">
        <v>-2028317</v>
      </c>
      <c r="AI6" s="340"/>
      <c r="AN6" s="371" t="s">
        <v>419</v>
      </c>
      <c r="AO6" s="371"/>
      <c r="AU6" s="343" t="s">
        <v>346</v>
      </c>
      <c r="AV6" s="340"/>
      <c r="AY6" s="343" t="s">
        <v>430</v>
      </c>
      <c r="AZ6" s="340">
        <v>-50000</v>
      </c>
      <c r="BE6" s="345"/>
      <c r="BK6" s="343" t="s">
        <v>428</v>
      </c>
      <c r="BO6" s="343" t="s">
        <v>464</v>
      </c>
    </row>
    <row r="7" spans="1:68" x14ac:dyDescent="0.25">
      <c r="A7" s="336" t="s">
        <v>255</v>
      </c>
      <c r="B7" s="237">
        <f>SUM(B2:B6)</f>
        <v>-376448824.8499999</v>
      </c>
      <c r="C7" s="338"/>
      <c r="F7" s="336" t="s">
        <v>255</v>
      </c>
      <c r="G7" s="4">
        <f>SUM(G2:G6)</f>
        <v>-261106303.51916668</v>
      </c>
      <c r="I7" s="340"/>
      <c r="J7" s="342"/>
      <c r="K7" s="337" t="s">
        <v>254</v>
      </c>
      <c r="L7" s="244">
        <f>[20]TB!$T$123+[20]TB!$U$123</f>
        <v>117095014.47</v>
      </c>
      <c r="S7" s="337" t="s">
        <v>254</v>
      </c>
      <c r="T7" s="342">
        <v>-118282762.91</v>
      </c>
      <c r="U7" s="340">
        <v>251905.32</v>
      </c>
      <c r="V7" s="345">
        <f>T7+U7</f>
        <v>-118030857.59</v>
      </c>
      <c r="AG7" s="337" t="s">
        <v>254</v>
      </c>
      <c r="AH7" s="342">
        <v>-66283234.609999999</v>
      </c>
      <c r="AI7" s="340">
        <f>AH7+AH8</f>
        <v>-62830606.539999999</v>
      </c>
      <c r="AN7" s="371">
        <v>5050104001</v>
      </c>
      <c r="AO7" s="373">
        <f>-1068960.28-76854.38-104149.76-2827192.57</f>
        <v>-4077156.99</v>
      </c>
      <c r="AU7" s="343">
        <v>1040202000</v>
      </c>
      <c r="AV7" s="340">
        <v>-1457377.2</v>
      </c>
      <c r="AY7" s="343">
        <v>5010102000</v>
      </c>
      <c r="AZ7" s="340">
        <v>-20000</v>
      </c>
      <c r="BC7" s="343" t="s">
        <v>430</v>
      </c>
      <c r="BE7" s="345"/>
      <c r="BK7" s="343" t="s">
        <v>458</v>
      </c>
      <c r="BO7" s="343">
        <v>1030303000</v>
      </c>
      <c r="BP7" s="340">
        <v>-8486.5</v>
      </c>
    </row>
    <row r="8" spans="1:68" x14ac:dyDescent="0.25">
      <c r="C8"/>
      <c r="F8" s="4"/>
      <c r="G8" s="4">
        <f>G7-[19]TB!$V$4</f>
        <v>-261106303.51916668</v>
      </c>
      <c r="I8" s="340"/>
      <c r="K8" s="336" t="s">
        <v>255</v>
      </c>
      <c r="L8" s="4">
        <f>SUM(L2:L7)</f>
        <v>81887057.599999994</v>
      </c>
      <c r="U8"/>
      <c r="V8" s="248">
        <f>SUM(V2:V7)</f>
        <v>-135670512.16</v>
      </c>
      <c r="AD8" s="345"/>
      <c r="AG8" s="337" t="s">
        <v>254</v>
      </c>
      <c r="AH8" s="340">
        <v>3452628.07</v>
      </c>
      <c r="AN8" s="343" t="s">
        <v>420</v>
      </c>
      <c r="AO8" s="345">
        <f>-[22]CONTROL!$E$115+[22]CONTROL!$F$115</f>
        <v>-5108065.55</v>
      </c>
      <c r="AY8" s="343">
        <v>5010102000</v>
      </c>
      <c r="AZ8" s="340">
        <v>-30000</v>
      </c>
      <c r="BC8" s="343">
        <v>5029902000</v>
      </c>
      <c r="BD8" s="438">
        <v>-94000</v>
      </c>
      <c r="BK8" s="343">
        <v>1030303000</v>
      </c>
      <c r="BL8" s="340">
        <v>-9711410.0299999993</v>
      </c>
    </row>
    <row r="9" spans="1:68" x14ac:dyDescent="0.25">
      <c r="A9" s="242" t="s">
        <v>339</v>
      </c>
      <c r="B9" s="237">
        <f>SUM(B10:B39)</f>
        <v>-124970.55999999998</v>
      </c>
      <c r="C9" s="236" t="s">
        <v>339</v>
      </c>
      <c r="D9" s="237">
        <f>SUM(D11:D17)/2</f>
        <v>-124970.56000000001</v>
      </c>
      <c r="F9" s="337" t="s">
        <v>251</v>
      </c>
      <c r="G9" s="237">
        <f>SUM(G10:G42)</f>
        <v>-2361246.7499999995</v>
      </c>
      <c r="H9" s="250" t="s">
        <v>277</v>
      </c>
      <c r="I9" s="4" t="s">
        <v>350</v>
      </c>
      <c r="J9"/>
      <c r="Z9" s="340"/>
      <c r="AA9" s="345"/>
      <c r="AC9" s="343"/>
      <c r="AD9" s="340"/>
      <c r="AG9" s="343" t="s">
        <v>378</v>
      </c>
      <c r="AH9" s="345">
        <f>SUM(AH2:AH8)</f>
        <v>-110308713.04000001</v>
      </c>
      <c r="AJ9"/>
      <c r="AK9" s="4"/>
      <c r="AU9" s="343" t="s">
        <v>431</v>
      </c>
      <c r="AV9" s="340"/>
      <c r="BO9" s="343" t="s">
        <v>465</v>
      </c>
    </row>
    <row r="10" spans="1:68" x14ac:dyDescent="0.25">
      <c r="A10">
        <v>5020402000</v>
      </c>
      <c r="B10" s="4">
        <v>-8332.5400000000009</v>
      </c>
      <c r="C10"/>
      <c r="E10" s="340"/>
      <c r="F10" s="360">
        <v>5021199000</v>
      </c>
      <c r="G10" s="4">
        <v>-3510.48</v>
      </c>
      <c r="H10" s="354">
        <v>5010101001</v>
      </c>
      <c r="I10" s="244">
        <v>2900</v>
      </c>
      <c r="J10"/>
      <c r="K10" s="337" t="s">
        <v>251</v>
      </c>
      <c r="L10" s="367">
        <f>SUM(L11:L95)</f>
        <v>-6252875.0499999998</v>
      </c>
      <c r="M10" s="250" t="s">
        <v>277</v>
      </c>
      <c r="N10" t="s">
        <v>359</v>
      </c>
      <c r="O10"/>
      <c r="S10" s="337" t="s">
        <v>251</v>
      </c>
      <c r="T10" s="342">
        <f>SUM(T11:T100)</f>
        <v>-17474654.57</v>
      </c>
      <c r="U10" s="250" t="s">
        <v>277</v>
      </c>
      <c r="V10" s="248" t="s">
        <v>376</v>
      </c>
      <c r="W10" s="4">
        <v>-165000</v>
      </c>
      <c r="X10" s="250" t="s">
        <v>277</v>
      </c>
      <c r="Y10" s="4" t="s">
        <v>376</v>
      </c>
      <c r="Z10" s="248"/>
      <c r="AA10" s="250" t="s">
        <v>277</v>
      </c>
      <c r="AB10" s="4" t="s">
        <v>376</v>
      </c>
      <c r="AC10"/>
      <c r="AD10" s="340"/>
      <c r="AG10" s="343"/>
      <c r="AU10" s="343">
        <v>1040401000</v>
      </c>
      <c r="AV10" s="340">
        <v>-3478623.85</v>
      </c>
      <c r="AY10" s="343" t="s">
        <v>445</v>
      </c>
      <c r="AZ10" s="340">
        <f>SUM(AZ11:AZ12)</f>
        <v>-9071341.9299999997</v>
      </c>
      <c r="BK10" s="343" t="s">
        <v>459</v>
      </c>
      <c r="BO10" s="343">
        <v>2022</v>
      </c>
      <c r="BP10" s="340">
        <v>2193484.0999999996</v>
      </c>
    </row>
    <row r="11" spans="1:68" x14ac:dyDescent="0.25">
      <c r="A11">
        <v>5020402000</v>
      </c>
      <c r="B11" s="4">
        <v>-8336.64</v>
      </c>
      <c r="C11" s="250" t="s">
        <v>277</v>
      </c>
      <c r="D11" s="4" t="s">
        <v>340</v>
      </c>
      <c r="E11" s="340"/>
      <c r="F11" s="360">
        <v>5021199000</v>
      </c>
      <c r="G11" s="4">
        <v>-33290</v>
      </c>
      <c r="H11" s="354">
        <v>5010102000</v>
      </c>
      <c r="I11" s="244">
        <v>-14138.559999999998</v>
      </c>
      <c r="J11"/>
      <c r="K11" s="343">
        <v>5021199000</v>
      </c>
      <c r="L11" s="340">
        <v>-16645</v>
      </c>
      <c r="M11" s="368">
        <v>5010101001</v>
      </c>
      <c r="N11" s="369">
        <v>2900</v>
      </c>
      <c r="O11"/>
      <c r="S11" s="384">
        <v>5021199000</v>
      </c>
      <c r="T11" s="340">
        <v>214.98</v>
      </c>
      <c r="U11" s="392">
        <v>5010101001</v>
      </c>
      <c r="V11" s="393">
        <v>2900</v>
      </c>
      <c r="W11"/>
      <c r="X11" s="251">
        <v>5010101001</v>
      </c>
      <c r="Y11" s="4">
        <v>2900</v>
      </c>
      <c r="Z11"/>
      <c r="AA11" s="251">
        <v>5010101001</v>
      </c>
      <c r="AB11" s="4">
        <v>2900</v>
      </c>
      <c r="AC11"/>
      <c r="AD11" s="340"/>
      <c r="AG11" s="336" t="s">
        <v>251</v>
      </c>
      <c r="AH11" s="375">
        <f>SUM(AH12:AH17)</f>
        <v>-871078.46</v>
      </c>
      <c r="AI11" s="345">
        <f>AH11-AH2</f>
        <v>0</v>
      </c>
      <c r="AJ11" s="250" t="s">
        <v>277</v>
      </c>
      <c r="AK11" s="4" t="s">
        <v>400</v>
      </c>
      <c r="AL11"/>
      <c r="AM11"/>
      <c r="AN11" s="343" t="s">
        <v>420</v>
      </c>
      <c r="AO11" s="345">
        <f>SUM(AO12:AO33)</f>
        <v>-5408065.5499999998</v>
      </c>
      <c r="AQ11" s="250" t="s">
        <v>277</v>
      </c>
      <c r="AR11" t="s">
        <v>421</v>
      </c>
      <c r="AS11"/>
      <c r="AY11" s="343">
        <v>5021499000</v>
      </c>
      <c r="AZ11" s="340">
        <v>-9070422.5</v>
      </c>
      <c r="BC11" s="343" t="s">
        <v>447</v>
      </c>
      <c r="BK11" s="343">
        <v>3010101000</v>
      </c>
      <c r="BL11" s="340">
        <v>-26113506.539999999</v>
      </c>
    </row>
    <row r="12" spans="1:68" x14ac:dyDescent="0.25">
      <c r="A12">
        <v>5020402000</v>
      </c>
      <c r="B12" s="4">
        <v>-4960.8</v>
      </c>
      <c r="C12" s="354">
        <v>5010101001</v>
      </c>
      <c r="D12" s="244">
        <v>-8491.6299999999992</v>
      </c>
      <c r="E12" s="340"/>
      <c r="F12" s="360">
        <v>5021499000</v>
      </c>
      <c r="G12" s="4">
        <v>-197716.24</v>
      </c>
      <c r="H12" s="354">
        <v>5020101000</v>
      </c>
      <c r="I12" s="244">
        <v>-27100</v>
      </c>
      <c r="J12"/>
      <c r="K12" s="343">
        <v>5021199000</v>
      </c>
      <c r="L12" s="340">
        <v>-5000</v>
      </c>
      <c r="M12" s="368">
        <v>5020101000</v>
      </c>
      <c r="N12" s="369">
        <v>-1523159.28</v>
      </c>
      <c r="O12"/>
      <c r="S12" s="384">
        <v>5010101001</v>
      </c>
      <c r="T12" s="340">
        <v>2900</v>
      </c>
      <c r="U12" s="392">
        <v>5020101000</v>
      </c>
      <c r="V12" s="393">
        <v>-112994.72</v>
      </c>
      <c r="W12"/>
      <c r="X12" s="251">
        <v>5020101000</v>
      </c>
      <c r="Y12" s="4">
        <v>-112994.72</v>
      </c>
      <c r="Z12"/>
      <c r="AA12" s="251">
        <v>5020101000</v>
      </c>
      <c r="AB12" s="4">
        <v>-112994.72</v>
      </c>
      <c r="AC12"/>
      <c r="AD12" s="340"/>
      <c r="AG12" s="343">
        <v>5010299014</v>
      </c>
      <c r="AH12" s="340">
        <v>-23628.39</v>
      </c>
      <c r="AI12" s="345"/>
      <c r="AJ12" s="406" t="s">
        <v>401</v>
      </c>
      <c r="AK12" s="407">
        <v>-23628.39</v>
      </c>
      <c r="AL12"/>
      <c r="AM12"/>
      <c r="AN12">
        <v>5010101001</v>
      </c>
      <c r="AO12" s="4">
        <v>2900</v>
      </c>
      <c r="AQ12" s="406">
        <v>5010101001</v>
      </c>
      <c r="AR12" s="408">
        <v>2900</v>
      </c>
      <c r="AS12" s="412">
        <v>5010102000</v>
      </c>
      <c r="AU12" s="343" t="s">
        <v>432</v>
      </c>
      <c r="AY12" s="343">
        <v>5021499000</v>
      </c>
      <c r="AZ12" s="340">
        <v>-919.43</v>
      </c>
      <c r="BC12" s="343">
        <v>1040202000</v>
      </c>
      <c r="BD12" s="438">
        <v>-3684801.6</v>
      </c>
      <c r="BO12" s="343" t="s">
        <v>466</v>
      </c>
      <c r="BP12" s="340">
        <v>1145846.9800000002</v>
      </c>
    </row>
    <row r="13" spans="1:68" x14ac:dyDescent="0.25">
      <c r="A13">
        <v>5020402000</v>
      </c>
      <c r="B13" s="4">
        <v>-27007.38</v>
      </c>
      <c r="C13" s="354">
        <v>5010102000</v>
      </c>
      <c r="D13" s="244">
        <v>-5214.46</v>
      </c>
      <c r="E13" s="340"/>
      <c r="F13" s="360">
        <v>5021499000</v>
      </c>
      <c r="G13" s="4">
        <v>-2349</v>
      </c>
      <c r="H13" s="354">
        <v>5020301000</v>
      </c>
      <c r="I13" s="244">
        <v>-299996.90000000002</v>
      </c>
      <c r="J13"/>
      <c r="K13" s="343">
        <v>5020101000</v>
      </c>
      <c r="L13" s="340">
        <v>-12050</v>
      </c>
      <c r="M13" s="368">
        <v>5020201000</v>
      </c>
      <c r="N13" s="369">
        <v>-468780</v>
      </c>
      <c r="O13"/>
      <c r="S13" s="384">
        <v>5021499000</v>
      </c>
      <c r="T13" s="340">
        <v>-156000</v>
      </c>
      <c r="U13" s="392">
        <v>5020201000</v>
      </c>
      <c r="V13" s="393">
        <v>-1696265.56</v>
      </c>
      <c r="W13" s="397">
        <f>GETPIVOTDATA("-17,639,654.57 ",$U$10,"MDS CHECK DJ",5020201000)+165000</f>
        <v>-1531265.56</v>
      </c>
      <c r="X13" s="251">
        <v>5020201000</v>
      </c>
      <c r="Y13" s="4">
        <v>-1696265.56</v>
      </c>
      <c r="Z13"/>
      <c r="AA13" s="251">
        <v>5020201000</v>
      </c>
      <c r="AB13" s="4">
        <v>-1696265.56</v>
      </c>
      <c r="AC13"/>
      <c r="AD13" s="340"/>
      <c r="AG13" s="343">
        <v>5020201000</v>
      </c>
      <c r="AH13" s="340">
        <v>-146250.07</v>
      </c>
      <c r="AI13" s="345"/>
      <c r="AJ13" s="406">
        <v>5020201000</v>
      </c>
      <c r="AK13" s="407">
        <v>-650250.07000000007</v>
      </c>
      <c r="AL13"/>
      <c r="AM13"/>
      <c r="AN13">
        <v>5020301000</v>
      </c>
      <c r="AO13" s="4">
        <v>-373.44</v>
      </c>
      <c r="AQ13" s="406">
        <v>5020201000</v>
      </c>
      <c r="AR13" s="408">
        <v>-1382660</v>
      </c>
      <c r="AS13"/>
      <c r="AU13" s="343" t="s">
        <v>427</v>
      </c>
      <c r="BO13" s="343">
        <v>5021499000</v>
      </c>
      <c r="BP13" s="340">
        <v>1145846.9800000002</v>
      </c>
    </row>
    <row r="14" spans="1:68" x14ac:dyDescent="0.25">
      <c r="A14">
        <v>5021199000</v>
      </c>
      <c r="B14" s="4">
        <v>-8974.5499999999993</v>
      </c>
      <c r="C14" s="354">
        <v>5020402000</v>
      </c>
      <c r="D14" s="244">
        <v>-48637.36</v>
      </c>
      <c r="E14" s="340"/>
      <c r="F14" s="360">
        <v>5021499000</v>
      </c>
      <c r="G14" s="4">
        <v>-297364.39</v>
      </c>
      <c r="H14" s="354">
        <v>5020399000</v>
      </c>
      <c r="I14" s="244">
        <v>-8353.17</v>
      </c>
      <c r="J14"/>
      <c r="K14" s="343">
        <v>5020101000</v>
      </c>
      <c r="L14" s="340">
        <v>-430</v>
      </c>
      <c r="M14" s="368">
        <v>5020307000</v>
      </c>
      <c r="N14" s="369">
        <v>-34</v>
      </c>
      <c r="O14"/>
      <c r="S14" s="384">
        <v>5020201000</v>
      </c>
      <c r="T14" s="340">
        <v>-78525</v>
      </c>
      <c r="U14" s="392">
        <v>5020301000</v>
      </c>
      <c r="V14" s="393">
        <v>209224</v>
      </c>
      <c r="W14"/>
      <c r="X14" s="251">
        <v>5020301000</v>
      </c>
      <c r="Y14" s="4">
        <v>209224</v>
      </c>
      <c r="Z14"/>
      <c r="AA14" s="251">
        <v>5020301000</v>
      </c>
      <c r="AB14" s="4">
        <v>209224</v>
      </c>
      <c r="AC14"/>
      <c r="AD14" s="340"/>
      <c r="AG14" s="343">
        <v>5020201000</v>
      </c>
      <c r="AH14" s="340">
        <v>-480000</v>
      </c>
      <c r="AI14" s="345"/>
      <c r="AJ14" s="406">
        <v>5021304000</v>
      </c>
      <c r="AK14" s="407">
        <v>-94200</v>
      </c>
      <c r="AL14"/>
      <c r="AN14" s="343">
        <v>5021499000</v>
      </c>
      <c r="AO14" s="4">
        <v>-100000</v>
      </c>
      <c r="AQ14" s="406">
        <v>5020301000</v>
      </c>
      <c r="AR14" s="408">
        <v>-373.44</v>
      </c>
      <c r="AS14"/>
      <c r="AU14" s="343">
        <v>5021499000</v>
      </c>
      <c r="AV14" s="340">
        <v>-49987.55</v>
      </c>
      <c r="AY14" s="343" t="s">
        <v>446</v>
      </c>
      <c r="BC14" s="343" t="s">
        <v>428</v>
      </c>
    </row>
    <row r="15" spans="1:68" x14ac:dyDescent="0.25">
      <c r="A15">
        <v>5021199000</v>
      </c>
      <c r="B15" s="4">
        <v>-4527.53</v>
      </c>
      <c r="C15" s="354">
        <v>5020502002</v>
      </c>
      <c r="D15" s="244">
        <v>-1698.93</v>
      </c>
      <c r="E15" s="340"/>
      <c r="F15" s="360">
        <v>5021499000</v>
      </c>
      <c r="G15" s="4">
        <v>-397533.75</v>
      </c>
      <c r="H15" s="354">
        <v>5020402000</v>
      </c>
      <c r="I15" s="244">
        <v>-6731.24</v>
      </c>
      <c r="J15"/>
      <c r="K15" s="343">
        <v>5020101000</v>
      </c>
      <c r="L15" s="340">
        <v>-1371</v>
      </c>
      <c r="M15" s="368">
        <v>5020399000</v>
      </c>
      <c r="N15" s="369">
        <v>-5655</v>
      </c>
      <c r="O15"/>
      <c r="P15"/>
      <c r="Q15"/>
      <c r="S15" s="384">
        <v>5029903000</v>
      </c>
      <c r="T15" s="340">
        <v>-168000</v>
      </c>
      <c r="U15" s="392">
        <v>5020307000</v>
      </c>
      <c r="V15" s="393">
        <v>-34094</v>
      </c>
      <c r="W15"/>
      <c r="X15" s="251">
        <v>5020307000</v>
      </c>
      <c r="Y15" s="4">
        <v>-34094</v>
      </c>
      <c r="Z15"/>
      <c r="AA15" s="251">
        <v>5020307000</v>
      </c>
      <c r="AB15" s="4">
        <v>-34094</v>
      </c>
      <c r="AC15"/>
      <c r="AD15" s="340"/>
      <c r="AG15" s="343">
        <v>5021499000</v>
      </c>
      <c r="AH15" s="340">
        <v>-103000</v>
      </c>
      <c r="AI15" s="345"/>
      <c r="AJ15" s="406">
        <v>5021499000</v>
      </c>
      <c r="AK15" s="407">
        <v>-103000</v>
      </c>
      <c r="AL15"/>
      <c r="AN15" s="343">
        <v>5021499000</v>
      </c>
      <c r="AO15" s="4">
        <v>-1861400</v>
      </c>
      <c r="AQ15" s="406">
        <v>5020308000</v>
      </c>
      <c r="AR15" s="408">
        <v>-14240</v>
      </c>
      <c r="AS15"/>
      <c r="AY15" s="343">
        <v>3010101000</v>
      </c>
      <c r="AZ15" s="340">
        <v>-314445.40000000002</v>
      </c>
      <c r="BC15" s="343">
        <v>1039903000</v>
      </c>
      <c r="BD15" s="438">
        <v>314445.40000000002</v>
      </c>
      <c r="BO15" s="343" t="s">
        <v>253</v>
      </c>
    </row>
    <row r="16" spans="1:68" x14ac:dyDescent="0.25">
      <c r="A16">
        <v>5021199000</v>
      </c>
      <c r="B16" s="4">
        <v>-1282.26</v>
      </c>
      <c r="C16" s="354">
        <v>5021199000</v>
      </c>
      <c r="D16" s="244">
        <v>-60928.180000000015</v>
      </c>
      <c r="E16" s="340"/>
      <c r="F16" s="360">
        <v>5021499000</v>
      </c>
      <c r="G16" s="4">
        <v>-214996.75</v>
      </c>
      <c r="H16" s="354">
        <v>5021199000</v>
      </c>
      <c r="I16" s="244">
        <v>-86704.389999999985</v>
      </c>
      <c r="J16"/>
      <c r="K16" s="343">
        <v>5020101000</v>
      </c>
      <c r="L16" s="340">
        <v>-3162</v>
      </c>
      <c r="M16" s="368">
        <v>5020502001</v>
      </c>
      <c r="N16" s="369">
        <v>-2700</v>
      </c>
      <c r="O16"/>
      <c r="S16" s="384">
        <v>5021199000</v>
      </c>
      <c r="T16" s="340">
        <v>-3329</v>
      </c>
      <c r="U16" s="392">
        <v>5020308000</v>
      </c>
      <c r="V16" s="393">
        <v>-5000</v>
      </c>
      <c r="W16"/>
      <c r="X16" s="251">
        <v>5020308000</v>
      </c>
      <c r="Y16" s="4">
        <v>-5000</v>
      </c>
      <c r="Z16"/>
      <c r="AA16" s="251">
        <v>5020308000</v>
      </c>
      <c r="AB16" s="4">
        <v>-5000</v>
      </c>
      <c r="AC16"/>
      <c r="AD16" s="340"/>
      <c r="AG16" s="343">
        <v>5021304000</v>
      </c>
      <c r="AH16" s="340">
        <v>-94200</v>
      </c>
      <c r="AI16" s="345"/>
      <c r="AJ16" s="251" t="s">
        <v>278</v>
      </c>
      <c r="AK16" s="4">
        <v>-871078.46000000008</v>
      </c>
      <c r="AL16"/>
      <c r="AN16" s="343">
        <v>5020308000</v>
      </c>
      <c r="AO16" s="4">
        <v>-14240</v>
      </c>
      <c r="AQ16" s="406">
        <v>5021199000</v>
      </c>
      <c r="AR16" s="408">
        <v>-17292.11</v>
      </c>
      <c r="AS16"/>
      <c r="AU16" s="343" t="s">
        <v>433</v>
      </c>
      <c r="BO16" s="343" t="s">
        <v>467</v>
      </c>
      <c r="BP16" s="340">
        <v>-109917.03</v>
      </c>
    </row>
    <row r="17" spans="1:68" x14ac:dyDescent="0.25">
      <c r="A17">
        <v>5021199000</v>
      </c>
      <c r="B17" s="4">
        <v>-396.56</v>
      </c>
      <c r="C17" s="251" t="s">
        <v>278</v>
      </c>
      <c r="D17" s="4">
        <v>-124970.56000000001</v>
      </c>
      <c r="E17" s="340"/>
      <c r="F17" s="360">
        <v>5021499000</v>
      </c>
      <c r="G17" s="4">
        <v>-12061.5</v>
      </c>
      <c r="H17" s="354">
        <v>5021203000</v>
      </c>
      <c r="I17" s="244">
        <v>-528936</v>
      </c>
      <c r="J17"/>
      <c r="K17" s="343">
        <v>5020101000</v>
      </c>
      <c r="L17" s="340">
        <v>-2054</v>
      </c>
      <c r="M17" s="368">
        <v>5021199000</v>
      </c>
      <c r="N17" s="369">
        <v>-49700.270000000004</v>
      </c>
      <c r="O17"/>
      <c r="P17"/>
      <c r="Q17"/>
      <c r="R17"/>
      <c r="S17" s="384">
        <v>5021199000</v>
      </c>
      <c r="T17" s="340">
        <v>-16645</v>
      </c>
      <c r="U17" s="392">
        <v>5020321002</v>
      </c>
      <c r="V17" s="393">
        <v>-91996</v>
      </c>
      <c r="W17"/>
      <c r="X17" s="251">
        <v>5020321002</v>
      </c>
      <c r="Y17" s="4">
        <v>-91996</v>
      </c>
      <c r="Z17"/>
      <c r="AA17" s="251">
        <v>5020321002</v>
      </c>
      <c r="AB17" s="4">
        <v>-91996</v>
      </c>
      <c r="AC17"/>
      <c r="AD17" s="340"/>
      <c r="AG17" s="343">
        <v>5020201000</v>
      </c>
      <c r="AH17" s="340">
        <v>-24000</v>
      </c>
      <c r="AI17" s="345"/>
      <c r="AJ17"/>
      <c r="AK17" s="4">
        <f>GETPIVOTDATA("-871,078.46 ",$AJ$11)-AH11</f>
        <v>0</v>
      </c>
      <c r="AL17"/>
      <c r="AN17" s="343">
        <v>5020201000</v>
      </c>
      <c r="AO17" s="4">
        <v>-150500</v>
      </c>
      <c r="AQ17" s="406">
        <v>5021499000</v>
      </c>
      <c r="AR17" s="408">
        <v>-3996400</v>
      </c>
      <c r="AS17"/>
      <c r="AU17" s="343" t="s">
        <v>434</v>
      </c>
    </row>
    <row r="18" spans="1:68" x14ac:dyDescent="0.25">
      <c r="A18">
        <v>5021199000</v>
      </c>
      <c r="B18" s="4">
        <v>-6094.31</v>
      </c>
      <c r="C18"/>
      <c r="E18" s="340"/>
      <c r="F18" s="360">
        <v>5021499000</v>
      </c>
      <c r="G18" s="4">
        <v>-80113.33</v>
      </c>
      <c r="H18" s="354">
        <v>5021305003</v>
      </c>
      <c r="I18" s="244">
        <v>-94750</v>
      </c>
      <c r="J18"/>
      <c r="K18" s="343">
        <v>5020101000</v>
      </c>
      <c r="L18" s="340">
        <v>-6746</v>
      </c>
      <c r="M18" s="368">
        <v>5021499000</v>
      </c>
      <c r="N18" s="369">
        <v>-3783358.5</v>
      </c>
      <c r="O18"/>
      <c r="P18" s="251"/>
      <c r="Q18" s="338"/>
      <c r="R18"/>
      <c r="S18" s="384">
        <v>5021499000</v>
      </c>
      <c r="T18" s="340">
        <v>-50000</v>
      </c>
      <c r="U18" s="392">
        <v>5020322001</v>
      </c>
      <c r="V18" s="393">
        <v>-91300</v>
      </c>
      <c r="W18"/>
      <c r="X18" s="251">
        <v>5020322001</v>
      </c>
      <c r="Y18" s="4">
        <v>-91300</v>
      </c>
      <c r="Z18"/>
      <c r="AA18" s="251">
        <v>5020322001</v>
      </c>
      <c r="AB18" s="4">
        <v>-91300</v>
      </c>
      <c r="AC18"/>
      <c r="AD18" s="340"/>
      <c r="AG18" s="343"/>
      <c r="AJ18"/>
      <c r="AK18" s="4"/>
      <c r="AL18"/>
      <c r="AN18" s="343">
        <v>5020201000</v>
      </c>
      <c r="AO18" s="4">
        <v>-107800</v>
      </c>
      <c r="AQ18" s="251" t="s">
        <v>278</v>
      </c>
      <c r="AR18" s="248">
        <v>-5408065.5499999998</v>
      </c>
      <c r="AS18"/>
      <c r="AU18" s="343">
        <v>5021499000</v>
      </c>
      <c r="AV18" s="340">
        <v>-25861508.399999999</v>
      </c>
      <c r="AW18" s="345"/>
      <c r="AY18" s="343" t="s">
        <v>447</v>
      </c>
    </row>
    <row r="19" spans="1:68" x14ac:dyDescent="0.25">
      <c r="A19">
        <v>5021199000</v>
      </c>
      <c r="B19" s="4">
        <v>-2881.42</v>
      </c>
      <c r="C19"/>
      <c r="F19" s="361">
        <v>5021499000</v>
      </c>
      <c r="G19" s="4">
        <v>-67870.600000000006</v>
      </c>
      <c r="H19" s="354">
        <v>5021499000</v>
      </c>
      <c r="I19" s="244">
        <v>-1270005.56</v>
      </c>
      <c r="J19"/>
      <c r="K19" s="343">
        <v>5020101000</v>
      </c>
      <c r="L19" s="340">
        <v>-6668</v>
      </c>
      <c r="M19" s="368">
        <v>5029903000</v>
      </c>
      <c r="N19" s="369">
        <v>-129585</v>
      </c>
      <c r="O19"/>
      <c r="P19" s="251"/>
      <c r="Q19" s="338"/>
      <c r="R19"/>
      <c r="S19" s="384">
        <v>5020101000</v>
      </c>
      <c r="T19" s="340">
        <v>-25800</v>
      </c>
      <c r="U19" s="392">
        <v>5020399000</v>
      </c>
      <c r="V19" s="393">
        <v>-30101.5</v>
      </c>
      <c r="W19"/>
      <c r="X19" s="251">
        <v>5020399000</v>
      </c>
      <c r="Y19" s="4">
        <v>-30101.5</v>
      </c>
      <c r="Z19"/>
      <c r="AA19" s="251">
        <v>5020399000</v>
      </c>
      <c r="AB19" s="4">
        <v>-30101.5</v>
      </c>
      <c r="AC19"/>
      <c r="AD19" s="340"/>
      <c r="AG19" s="336" t="s">
        <v>252</v>
      </c>
      <c r="AH19" s="367">
        <f>SUM(AH20:AH26)</f>
        <v>-695938.21</v>
      </c>
      <c r="AI19" s="345">
        <f>AH19-AH3</f>
        <v>0</v>
      </c>
      <c r="AJ19" s="250" t="s">
        <v>277</v>
      </c>
      <c r="AK19" s="248" t="s">
        <v>402</v>
      </c>
      <c r="AL19"/>
      <c r="AN19" s="343">
        <v>5020201000</v>
      </c>
      <c r="AO19" s="4">
        <v>-400000</v>
      </c>
      <c r="AQ19"/>
      <c r="AR19"/>
      <c r="AS19"/>
      <c r="AU19" s="343" t="s">
        <v>437</v>
      </c>
      <c r="AV19" s="340"/>
      <c r="AY19" s="343">
        <v>1040202000</v>
      </c>
      <c r="AZ19" s="340">
        <f>-543431.2-38100+55225</f>
        <v>-526306.19999999995</v>
      </c>
      <c r="BO19" s="343" t="s">
        <v>346</v>
      </c>
    </row>
    <row r="20" spans="1:68" x14ac:dyDescent="0.25">
      <c r="A20">
        <v>5021199000</v>
      </c>
      <c r="B20" s="4">
        <v>-5784.63</v>
      </c>
      <c r="C20"/>
      <c r="F20" s="361">
        <v>5021305003</v>
      </c>
      <c r="G20" s="4">
        <v>-94750</v>
      </c>
      <c r="H20" s="354">
        <v>5029999099</v>
      </c>
      <c r="I20" s="244">
        <v>-27430.93</v>
      </c>
      <c r="J20"/>
      <c r="K20" s="346">
        <v>5020101000</v>
      </c>
      <c r="L20" s="340">
        <v>-3100</v>
      </c>
      <c r="M20" s="368">
        <v>5029999099</v>
      </c>
      <c r="N20" s="369">
        <v>-292803</v>
      </c>
      <c r="O20"/>
      <c r="P20" s="251"/>
      <c r="Q20" s="338"/>
      <c r="R20"/>
      <c r="S20" s="384">
        <v>5029903000</v>
      </c>
      <c r="T20" s="340">
        <v>-7200</v>
      </c>
      <c r="U20" s="392">
        <v>5020501000</v>
      </c>
      <c r="V20" s="393">
        <v>-39910</v>
      </c>
      <c r="W20"/>
      <c r="X20" s="251">
        <v>5020501000</v>
      </c>
      <c r="Y20" s="4">
        <v>-39910</v>
      </c>
      <c r="Z20"/>
      <c r="AA20" s="251">
        <v>5020501000</v>
      </c>
      <c r="AB20" s="4">
        <v>-39910</v>
      </c>
      <c r="AC20"/>
      <c r="AD20" s="340"/>
      <c r="AG20" s="343">
        <v>5021202000</v>
      </c>
      <c r="AH20" s="340">
        <v>-115540.15</v>
      </c>
      <c r="AI20" s="345"/>
      <c r="AJ20" s="406">
        <v>5020201000</v>
      </c>
      <c r="AK20" s="408">
        <v>-106000</v>
      </c>
      <c r="AL20"/>
      <c r="AN20" s="343">
        <v>5020201000</v>
      </c>
      <c r="AO20" s="4">
        <v>-67600</v>
      </c>
      <c r="AQ20"/>
      <c r="AR20"/>
      <c r="AS20"/>
      <c r="AU20" s="343">
        <v>5021499000</v>
      </c>
      <c r="AV20" s="340">
        <v>-11024.93</v>
      </c>
      <c r="BO20" s="343">
        <v>1040202000</v>
      </c>
      <c r="BP20" s="340">
        <v>-115240</v>
      </c>
    </row>
    <row r="21" spans="1:68" x14ac:dyDescent="0.25">
      <c r="A21">
        <v>5021199000</v>
      </c>
      <c r="B21" s="4">
        <v>-4247.7299999999996</v>
      </c>
      <c r="C21"/>
      <c r="F21" s="361">
        <v>5021203000</v>
      </c>
      <c r="G21" s="4">
        <v>-528936</v>
      </c>
      <c r="H21" s="251" t="s">
        <v>278</v>
      </c>
      <c r="I21" s="4">
        <v>-2361246.7500000005</v>
      </c>
      <c r="J21"/>
      <c r="K21" s="346">
        <v>5021199000</v>
      </c>
      <c r="L21" s="340">
        <v>-33848</v>
      </c>
      <c r="M21" s="251" t="s">
        <v>278</v>
      </c>
      <c r="N21" s="248">
        <v>-6252875.0499999998</v>
      </c>
      <c r="O21"/>
      <c r="P21" s="251"/>
      <c r="Q21" s="338"/>
      <c r="R21"/>
      <c r="S21" s="384">
        <v>5020201000</v>
      </c>
      <c r="T21" s="340">
        <v>-450000</v>
      </c>
      <c r="U21" s="392">
        <v>5021103000</v>
      </c>
      <c r="V21" s="393">
        <v>-599888</v>
      </c>
      <c r="W21"/>
      <c r="X21" s="251">
        <v>5021103000</v>
      </c>
      <c r="Y21" s="4">
        <v>-599888</v>
      </c>
      <c r="Z21"/>
      <c r="AA21" s="251">
        <v>5021103000</v>
      </c>
      <c r="AB21" s="4">
        <v>-599888</v>
      </c>
      <c r="AC21"/>
      <c r="AD21" s="340"/>
      <c r="AG21" s="343">
        <v>5020301000</v>
      </c>
      <c r="AH21" s="340">
        <v>-6750</v>
      </c>
      <c r="AI21" s="345"/>
      <c r="AJ21" s="406">
        <v>5020301000</v>
      </c>
      <c r="AK21" s="408">
        <v>-6750</v>
      </c>
      <c r="AL21"/>
      <c r="AN21" s="343">
        <v>5020201000</v>
      </c>
      <c r="AO21" s="4">
        <v>-184000</v>
      </c>
      <c r="AQ21"/>
      <c r="AR21"/>
      <c r="AS21"/>
      <c r="AU21" s="343" t="s">
        <v>435</v>
      </c>
      <c r="AY21" s="343" t="s">
        <v>448</v>
      </c>
    </row>
    <row r="22" spans="1:68" x14ac:dyDescent="0.25">
      <c r="A22">
        <v>5021199000</v>
      </c>
      <c r="B22" s="4">
        <v>-2011.58</v>
      </c>
      <c r="C22"/>
      <c r="F22" s="361">
        <v>5021199000</v>
      </c>
      <c r="G22" s="4">
        <v>-36073.699999999997</v>
      </c>
      <c r="H22"/>
      <c r="I22" s="4">
        <f>GETPIVOTDATA("-2,361,246.75 ",$H$9)-G9</f>
        <v>0</v>
      </c>
      <c r="J22"/>
      <c r="K22" s="346">
        <v>5021499000</v>
      </c>
      <c r="L22" s="340">
        <v>-1404000</v>
      </c>
      <c r="M22"/>
      <c r="N22"/>
      <c r="O22"/>
      <c r="P22" s="251"/>
      <c r="Q22" s="338"/>
      <c r="R22"/>
      <c r="S22" s="384">
        <v>5020101000</v>
      </c>
      <c r="T22" s="340">
        <v>-7694.72</v>
      </c>
      <c r="U22" s="392">
        <v>5021199000</v>
      </c>
      <c r="V22" s="393">
        <v>-24759.02</v>
      </c>
      <c r="W22"/>
      <c r="X22" s="251">
        <v>5021199000</v>
      </c>
      <c r="Y22" s="4">
        <v>-24759.02</v>
      </c>
      <c r="Z22"/>
      <c r="AA22" s="251">
        <v>5021199000</v>
      </c>
      <c r="AB22" s="4">
        <v>-24759.02</v>
      </c>
      <c r="AC22"/>
      <c r="AD22" s="340"/>
      <c r="AG22" s="343">
        <v>5029905001</v>
      </c>
      <c r="AH22" s="340">
        <v>-6000</v>
      </c>
      <c r="AI22" s="345"/>
      <c r="AJ22" s="406">
        <v>5020322000</v>
      </c>
      <c r="AK22" s="408">
        <v>-343400</v>
      </c>
      <c r="AL22"/>
      <c r="AN22" s="343">
        <v>5020201000</v>
      </c>
      <c r="AO22" s="4">
        <v>-240000</v>
      </c>
      <c r="AQ22"/>
      <c r="AR22"/>
      <c r="AS22"/>
      <c r="AU22" s="343">
        <v>5021199000</v>
      </c>
      <c r="AV22" s="340">
        <v>-14028.08</v>
      </c>
      <c r="AY22" s="343">
        <v>5021499000</v>
      </c>
      <c r="AZ22" s="340">
        <v>-50052.21</v>
      </c>
      <c r="BO22" s="343" t="s">
        <v>471</v>
      </c>
    </row>
    <row r="23" spans="1:68" x14ac:dyDescent="0.25">
      <c r="A23">
        <v>5021199000</v>
      </c>
      <c r="B23" s="4">
        <v>-171.73</v>
      </c>
      <c r="C23"/>
      <c r="F23" s="361">
        <v>5021199000</v>
      </c>
      <c r="G23" s="4">
        <v>-3240</v>
      </c>
      <c r="H23"/>
      <c r="I23" s="4"/>
      <c r="J23"/>
      <c r="K23" s="346">
        <v>5020502001</v>
      </c>
      <c r="L23" s="340">
        <v>-2700</v>
      </c>
      <c r="M23"/>
      <c r="N23"/>
      <c r="O23"/>
      <c r="P23" s="251"/>
      <c r="Q23" s="338"/>
      <c r="R23"/>
      <c r="S23" s="384">
        <v>5020201000</v>
      </c>
      <c r="T23" s="340">
        <v>-13600</v>
      </c>
      <c r="U23" s="392">
        <v>5021305003</v>
      </c>
      <c r="V23" s="393">
        <v>-9500</v>
      </c>
      <c r="W23"/>
      <c r="X23" s="251">
        <v>5021305003</v>
      </c>
      <c r="Y23" s="4">
        <v>-9500</v>
      </c>
      <c r="Z23"/>
      <c r="AA23" s="251">
        <v>5021305003</v>
      </c>
      <c r="AB23" s="4">
        <v>-9500</v>
      </c>
      <c r="AC23"/>
      <c r="AD23" s="340"/>
      <c r="AG23" s="343">
        <v>5020201000</v>
      </c>
      <c r="AH23" s="340">
        <v>-106000</v>
      </c>
      <c r="AI23" s="345"/>
      <c r="AJ23" s="406">
        <v>5021202000</v>
      </c>
      <c r="AK23" s="408">
        <v>-223988.21</v>
      </c>
      <c r="AL23"/>
      <c r="AN23" s="343">
        <v>5020201000</v>
      </c>
      <c r="AO23" s="4">
        <v>-100100</v>
      </c>
      <c r="AQ23"/>
      <c r="AR23"/>
      <c r="AS23"/>
      <c r="BO23" s="343">
        <v>5050105003</v>
      </c>
      <c r="BP23" s="340">
        <v>-125070</v>
      </c>
    </row>
    <row r="24" spans="1:68" s="349" customFormat="1" x14ac:dyDescent="0.25">
      <c r="A24" s="241">
        <v>5010102000</v>
      </c>
      <c r="B24" s="252">
        <v>-5396.26</v>
      </c>
      <c r="C24" s="4"/>
      <c r="D24" s="252"/>
      <c r="E24" s="4"/>
      <c r="F24" s="361">
        <v>5020101000</v>
      </c>
      <c r="G24" s="4">
        <v>-27100</v>
      </c>
      <c r="H24"/>
      <c r="I24" s="4"/>
      <c r="J24"/>
      <c r="K24" s="346">
        <v>5029999099</v>
      </c>
      <c r="L24" s="340">
        <v>-83200</v>
      </c>
      <c r="M24"/>
      <c r="P24" s="251"/>
      <c r="Q24" s="338"/>
      <c r="R24"/>
      <c r="S24" s="349">
        <v>5020321002</v>
      </c>
      <c r="T24" s="340">
        <v>-91996</v>
      </c>
      <c r="U24" s="392">
        <v>5021499000</v>
      </c>
      <c r="V24" s="393">
        <v>-12850121.77</v>
      </c>
      <c r="W24"/>
      <c r="X24" s="251">
        <v>5021499000</v>
      </c>
      <c r="Y24" s="4">
        <v>-12850121.77</v>
      </c>
      <c r="Z24"/>
      <c r="AA24" s="251">
        <v>5021499000</v>
      </c>
      <c r="AB24" s="4">
        <v>-12850121.77</v>
      </c>
      <c r="AC24"/>
      <c r="AD24" s="347"/>
      <c r="AG24" s="349">
        <v>5029902000</v>
      </c>
      <c r="AH24" s="347">
        <v>-9800</v>
      </c>
      <c r="AI24" s="345"/>
      <c r="AJ24" s="406">
        <v>5029902000</v>
      </c>
      <c r="AK24" s="408">
        <v>-9800</v>
      </c>
      <c r="AL24"/>
      <c r="AN24" s="349">
        <v>5020201000</v>
      </c>
      <c r="AO24" s="4">
        <v>-132660</v>
      </c>
      <c r="AQ24"/>
      <c r="AR24"/>
      <c r="AS24"/>
      <c r="AZ24" s="347"/>
      <c r="BD24" s="439"/>
      <c r="BH24" s="347"/>
      <c r="BP24" s="347"/>
    </row>
    <row r="25" spans="1:68" x14ac:dyDescent="0.25">
      <c r="A25">
        <v>5010101001</v>
      </c>
      <c r="B25" s="4">
        <v>-11391.63</v>
      </c>
      <c r="F25" s="361">
        <v>5021199000</v>
      </c>
      <c r="G25" s="4">
        <v>-6111.9</v>
      </c>
      <c r="H25"/>
      <c r="I25" s="4"/>
      <c r="J25"/>
      <c r="K25" s="348">
        <v>5020201000</v>
      </c>
      <c r="L25" s="340">
        <v>-72000</v>
      </c>
      <c r="M25"/>
      <c r="N25"/>
      <c r="O25"/>
      <c r="P25" s="251"/>
      <c r="Q25" s="338"/>
      <c r="R25"/>
      <c r="S25" s="384">
        <v>5020201000</v>
      </c>
      <c r="T25" s="340">
        <v>-11200</v>
      </c>
      <c r="U25" s="392">
        <v>5029901000</v>
      </c>
      <c r="V25" s="393">
        <v>-6000</v>
      </c>
      <c r="W25"/>
      <c r="X25" s="251">
        <v>5029901000</v>
      </c>
      <c r="Y25" s="4">
        <v>-6000</v>
      </c>
      <c r="Z25"/>
      <c r="AA25" s="251">
        <v>5029901000</v>
      </c>
      <c r="AB25" s="4">
        <v>-6000</v>
      </c>
      <c r="AC25"/>
      <c r="AD25" s="340"/>
      <c r="AG25" s="343">
        <v>5020322000</v>
      </c>
      <c r="AH25" s="340">
        <v>-343400</v>
      </c>
      <c r="AI25" s="345"/>
      <c r="AJ25" s="406">
        <v>5029905001</v>
      </c>
      <c r="AK25" s="408">
        <v>-6000</v>
      </c>
      <c r="AL25"/>
      <c r="AN25" s="343">
        <v>5021199000</v>
      </c>
      <c r="AO25" s="4">
        <v>-17292.11</v>
      </c>
      <c r="AQ25"/>
      <c r="AR25"/>
      <c r="AS25"/>
      <c r="BO25" s="343" t="s">
        <v>472</v>
      </c>
    </row>
    <row r="26" spans="1:68" x14ac:dyDescent="0.25">
      <c r="A26">
        <v>5021199000</v>
      </c>
      <c r="B26" s="4">
        <v>-16613.79</v>
      </c>
      <c r="F26" s="361">
        <v>5020402000</v>
      </c>
      <c r="G26" s="4">
        <v>-6731.24</v>
      </c>
      <c r="H26"/>
      <c r="I26" s="4"/>
      <c r="J26"/>
      <c r="K26" s="346">
        <v>5020201000</v>
      </c>
      <c r="L26" s="340">
        <v>-65850</v>
      </c>
      <c r="M26"/>
      <c r="N26"/>
      <c r="O26"/>
      <c r="P26" s="251"/>
      <c r="Q26" s="338"/>
      <c r="R26"/>
      <c r="S26" s="384">
        <v>5029999099</v>
      </c>
      <c r="T26" s="340">
        <v>-54900</v>
      </c>
      <c r="U26" s="392">
        <v>5029902000</v>
      </c>
      <c r="V26" s="393">
        <v>-170750</v>
      </c>
      <c r="W26"/>
      <c r="X26" s="251">
        <v>5029902000</v>
      </c>
      <c r="Y26" s="4">
        <v>-170750</v>
      </c>
      <c r="Z26"/>
      <c r="AA26" s="251">
        <v>5029902000</v>
      </c>
      <c r="AB26" s="4">
        <v>-170750</v>
      </c>
      <c r="AC26"/>
      <c r="AD26" s="340"/>
      <c r="AG26" s="343">
        <v>5021202000</v>
      </c>
      <c r="AH26" s="340">
        <v>-108448.06</v>
      </c>
      <c r="AI26" s="345"/>
      <c r="AJ26" s="251" t="s">
        <v>278</v>
      </c>
      <c r="AK26" s="248">
        <v>-695938.21</v>
      </c>
      <c r="AL26"/>
      <c r="AN26" s="343">
        <v>5021499000</v>
      </c>
      <c r="AO26" s="4">
        <v>-300000</v>
      </c>
      <c r="AQ26"/>
      <c r="AR26"/>
      <c r="AS26"/>
      <c r="BO26" s="343">
        <v>4030106000</v>
      </c>
      <c r="BP26" s="340">
        <v>-907500</v>
      </c>
    </row>
    <row r="27" spans="1:68" x14ac:dyDescent="0.25">
      <c r="A27">
        <v>5021199000</v>
      </c>
      <c r="B27" s="4">
        <v>-1008.16</v>
      </c>
      <c r="F27" s="361">
        <v>5021199000</v>
      </c>
      <c r="G27" s="4">
        <v>-1013.95</v>
      </c>
      <c r="K27" s="346">
        <v>5020399000</v>
      </c>
      <c r="L27" s="340">
        <v>-5655</v>
      </c>
      <c r="M27"/>
      <c r="N27"/>
      <c r="O27"/>
      <c r="P27" s="251"/>
      <c r="Q27" s="338"/>
      <c r="R27"/>
      <c r="S27" s="384">
        <v>5029901000</v>
      </c>
      <c r="T27" s="340">
        <v>-6000</v>
      </c>
      <c r="U27" s="392">
        <v>5029903000</v>
      </c>
      <c r="V27" s="393">
        <v>-856100</v>
      </c>
      <c r="W27"/>
      <c r="X27" s="251">
        <v>5029903000</v>
      </c>
      <c r="Y27" s="4">
        <v>-856100</v>
      </c>
      <c r="Z27"/>
      <c r="AA27" s="251">
        <v>5029903000</v>
      </c>
      <c r="AB27" s="4">
        <v>-856100</v>
      </c>
      <c r="AC27"/>
      <c r="AD27" s="340"/>
      <c r="AG27" s="343"/>
      <c r="AJ27"/>
      <c r="AK27" s="248">
        <f>GETPIVOTDATA("-695,938.21 ",$AJ$19)-AH19</f>
        <v>0</v>
      </c>
      <c r="AL27"/>
      <c r="AN27" s="343">
        <v>5021499000</v>
      </c>
      <c r="AO27" s="4">
        <v>-135000</v>
      </c>
      <c r="AQ27"/>
      <c r="AR27"/>
      <c r="AS27"/>
    </row>
    <row r="28" spans="1:68" x14ac:dyDescent="0.25">
      <c r="A28">
        <v>5021199000</v>
      </c>
      <c r="B28" s="4">
        <v>-5000</v>
      </c>
      <c r="F28" s="361">
        <v>5021199000</v>
      </c>
      <c r="G28" s="4">
        <v>-3464.36</v>
      </c>
      <c r="K28" s="346">
        <v>5029999099</v>
      </c>
      <c r="L28" s="340">
        <v>-209600</v>
      </c>
      <c r="M28"/>
      <c r="N28"/>
      <c r="O28"/>
      <c r="P28" s="251"/>
      <c r="Q28" s="338"/>
      <c r="R28"/>
      <c r="S28" s="384">
        <v>5020201000</v>
      </c>
      <c r="T28" s="340">
        <v>-9600</v>
      </c>
      <c r="U28" s="392">
        <v>5029904000</v>
      </c>
      <c r="V28" s="393">
        <v>-950000</v>
      </c>
      <c r="X28" s="251">
        <v>5029904000</v>
      </c>
      <c r="Y28" s="4">
        <v>-950000</v>
      </c>
      <c r="Z28" s="342"/>
      <c r="AA28" s="251">
        <v>5029904000</v>
      </c>
      <c r="AB28" s="4">
        <v>-950000</v>
      </c>
      <c r="AC28" s="345"/>
      <c r="AD28" s="340"/>
      <c r="AG28" s="343"/>
      <c r="AJ28"/>
      <c r="AK28"/>
      <c r="AL28"/>
      <c r="AN28" s="343">
        <v>5021499000</v>
      </c>
      <c r="AO28" s="4">
        <v>-300000</v>
      </c>
      <c r="AQ28"/>
      <c r="AR28"/>
      <c r="AS28"/>
    </row>
    <row r="29" spans="1:68" x14ac:dyDescent="0.25">
      <c r="A29">
        <v>5021199000</v>
      </c>
      <c r="B29" s="4">
        <v>-5000</v>
      </c>
      <c r="F29" s="361">
        <v>5029999099</v>
      </c>
      <c r="G29" s="4">
        <v>-3051.93</v>
      </c>
      <c r="K29" s="346">
        <v>5020201000</v>
      </c>
      <c r="L29" s="340">
        <v>-10400</v>
      </c>
      <c r="M29" s="345"/>
      <c r="P29"/>
      <c r="Q29"/>
      <c r="R29"/>
      <c r="S29" s="384">
        <v>5020201000</v>
      </c>
      <c r="T29" s="340">
        <v>-16850.560000000001</v>
      </c>
      <c r="U29" s="392">
        <v>5029999099</v>
      </c>
      <c r="V29" s="393">
        <v>-282998</v>
      </c>
      <c r="X29" s="251">
        <v>5029999099</v>
      </c>
      <c r="Y29" s="4">
        <v>-282998</v>
      </c>
      <c r="Z29" s="342"/>
      <c r="AA29" s="251">
        <v>5029999099</v>
      </c>
      <c r="AB29" s="4">
        <v>-282998</v>
      </c>
      <c r="AC29" s="343"/>
      <c r="AD29" s="340"/>
      <c r="AG29" s="400" t="s">
        <v>254</v>
      </c>
      <c r="AH29" s="401">
        <f>AH31+AH37+AH40+AH41+AH44+AH47+AH50+AH51+AH52+AH55+AH48</f>
        <v>-62830606.539999992</v>
      </c>
      <c r="AI29" s="345">
        <f>AH29-AI7</f>
        <v>0</v>
      </c>
      <c r="AJ29"/>
      <c r="AK29"/>
      <c r="AL29"/>
      <c r="AN29" s="343">
        <v>5021499000</v>
      </c>
      <c r="AO29" s="4">
        <v>-300000</v>
      </c>
    </row>
    <row r="30" spans="1:68" x14ac:dyDescent="0.25">
      <c r="A30">
        <v>5020502002</v>
      </c>
      <c r="B30" s="4">
        <v>-1698.93</v>
      </c>
      <c r="F30" s="361">
        <v>5020301000</v>
      </c>
      <c r="G30" s="4">
        <v>-10232.76</v>
      </c>
      <c r="K30" s="346">
        <v>5020201000</v>
      </c>
      <c r="L30" s="340">
        <v>-129600</v>
      </c>
      <c r="M30" s="345"/>
      <c r="P30"/>
      <c r="Q30"/>
      <c r="R30"/>
      <c r="S30" s="384">
        <v>5020201000</v>
      </c>
      <c r="T30" s="340">
        <v>-360000</v>
      </c>
      <c r="U30" s="251" t="s">
        <v>278</v>
      </c>
      <c r="V30" s="248">
        <v>-17639654.57</v>
      </c>
      <c r="X30" s="251" t="s">
        <v>278</v>
      </c>
      <c r="Y30" s="4">
        <v>-17639654.57</v>
      </c>
      <c r="Z30" s="340"/>
      <c r="AA30" s="251" t="s">
        <v>278</v>
      </c>
      <c r="AB30" s="4">
        <v>-17639654.57</v>
      </c>
      <c r="AC30" s="343"/>
      <c r="AD30" s="340"/>
      <c r="AG30" s="409" t="s">
        <v>403</v>
      </c>
      <c r="AH30" s="409"/>
      <c r="AJ30"/>
      <c r="AK30"/>
      <c r="AL30"/>
      <c r="AN30" s="343">
        <v>5021499000</v>
      </c>
      <c r="AO30" s="4">
        <v>-300000</v>
      </c>
    </row>
    <row r="31" spans="1:68" x14ac:dyDescent="0.25">
      <c r="A31">
        <v>5010102000</v>
      </c>
      <c r="B31" s="4">
        <v>181.8</v>
      </c>
      <c r="F31" s="361">
        <v>5020301000</v>
      </c>
      <c r="G31" s="4">
        <v>-63600</v>
      </c>
      <c r="K31" s="346">
        <v>5021499000</v>
      </c>
      <c r="L31" s="340">
        <v>-150000</v>
      </c>
      <c r="M31" s="345"/>
      <c r="P31"/>
      <c r="Q31"/>
      <c r="R31"/>
      <c r="S31" s="384">
        <v>5020201000</v>
      </c>
      <c r="T31" s="340">
        <v>-160000</v>
      </c>
      <c r="U31" s="340"/>
      <c r="V31" s="345">
        <f>GETPIVOTDATA("-17,639,654.57 ",$U$10)-T10</f>
        <v>-165000</v>
      </c>
      <c r="Y31" s="340">
        <f>GETPIVOTDATA("-17,639,654.57 ",$X$10)-T10</f>
        <v>-165000</v>
      </c>
      <c r="AC31" s="342"/>
      <c r="AD31" s="345"/>
      <c r="AG31" s="409">
        <v>1040202000</v>
      </c>
      <c r="AH31" s="405">
        <v>-4055873.9</v>
      </c>
      <c r="AJ31"/>
      <c r="AK31"/>
      <c r="AL31"/>
      <c r="AN31" s="343">
        <v>5021499000</v>
      </c>
      <c r="AO31" s="4">
        <v>-300000</v>
      </c>
    </row>
    <row r="32" spans="1:68" x14ac:dyDescent="0.25">
      <c r="A32">
        <v>5010101001</v>
      </c>
      <c r="B32" s="4">
        <v>2900</v>
      </c>
      <c r="F32" s="361">
        <v>5020301000</v>
      </c>
      <c r="G32" s="4">
        <v>-75714.28</v>
      </c>
      <c r="K32" s="346">
        <v>5021499000</v>
      </c>
      <c r="L32" s="340">
        <v>-40000</v>
      </c>
      <c r="M32" s="345"/>
      <c r="P32"/>
      <c r="Q32"/>
      <c r="R32"/>
      <c r="S32" s="384">
        <v>5021499000</v>
      </c>
      <c r="T32" s="340">
        <v>-63000</v>
      </c>
      <c r="U32" s="340"/>
      <c r="AG32" s="340"/>
      <c r="AH32" s="340"/>
      <c r="AJ32"/>
      <c r="AK32"/>
      <c r="AL32"/>
      <c r="AN32" s="343">
        <v>5021499000</v>
      </c>
      <c r="AO32" s="4">
        <v>-300000</v>
      </c>
    </row>
    <row r="33" spans="1:41" x14ac:dyDescent="0.25">
      <c r="A33">
        <v>5021199000</v>
      </c>
      <c r="B33" s="4">
        <v>142.66</v>
      </c>
      <c r="F33" s="361">
        <v>5020301000</v>
      </c>
      <c r="G33" s="4">
        <v>-133414.14000000001</v>
      </c>
      <c r="K33" s="343">
        <v>5021499000</v>
      </c>
      <c r="L33" s="340">
        <v>-729621.5</v>
      </c>
      <c r="M33" s="345"/>
      <c r="P33"/>
      <c r="Q33"/>
      <c r="R33"/>
      <c r="S33" s="384">
        <v>5020201000</v>
      </c>
      <c r="T33" s="340">
        <v>-240000</v>
      </c>
      <c r="U33" s="340"/>
      <c r="AC33" s="342"/>
      <c r="AD33" s="345"/>
      <c r="AG33" s="405" t="s">
        <v>404</v>
      </c>
      <c r="AH33" s="405"/>
      <c r="AJ33"/>
      <c r="AK33"/>
      <c r="AL33"/>
      <c r="AN33" s="343">
        <v>5021499000</v>
      </c>
      <c r="AO33" s="4">
        <v>-100000</v>
      </c>
    </row>
    <row r="34" spans="1:41" x14ac:dyDescent="0.25">
      <c r="A34">
        <v>5021199000</v>
      </c>
      <c r="B34" s="4">
        <v>250.6</v>
      </c>
      <c r="F34" s="361">
        <v>5020399000</v>
      </c>
      <c r="G34" s="4">
        <v>-8353.17</v>
      </c>
      <c r="K34" s="343">
        <v>5029903000</v>
      </c>
      <c r="L34" s="340">
        <v>-52100</v>
      </c>
      <c r="M34" s="345"/>
      <c r="P34"/>
      <c r="Q34"/>
      <c r="R34"/>
      <c r="S34" s="384">
        <v>5029999099</v>
      </c>
      <c r="T34" s="340">
        <v>-200000</v>
      </c>
      <c r="U34" s="340"/>
      <c r="AC34" s="342"/>
      <c r="AD34" s="345"/>
      <c r="AG34" s="409">
        <v>1040299000</v>
      </c>
      <c r="AH34" s="405">
        <v>-32130504.219999999</v>
      </c>
      <c r="AI34" s="343" t="s">
        <v>415</v>
      </c>
      <c r="AJ34"/>
      <c r="AK34" s="4">
        <v>-45487819.020000003</v>
      </c>
      <c r="AL34" t="s">
        <v>416</v>
      </c>
    </row>
    <row r="35" spans="1:41" x14ac:dyDescent="0.25">
      <c r="A35">
        <v>5021199000</v>
      </c>
      <c r="B35" s="4">
        <v>795.7</v>
      </c>
      <c r="F35" s="361">
        <v>5020301000</v>
      </c>
      <c r="G35" s="4">
        <v>-17035.72</v>
      </c>
      <c r="K35" s="343">
        <v>5021499000</v>
      </c>
      <c r="L35" s="340">
        <v>-90137</v>
      </c>
      <c r="M35" s="345"/>
      <c r="S35" s="384">
        <v>5029903000</v>
      </c>
      <c r="T35" s="340">
        <v>-30000</v>
      </c>
      <c r="U35" s="340"/>
      <c r="AC35" s="342"/>
      <c r="AD35" s="345"/>
      <c r="AG35" s="409">
        <v>1040299000</v>
      </c>
      <c r="AH35" s="405">
        <v>-5175212.3</v>
      </c>
      <c r="AJ35"/>
      <c r="AK35"/>
      <c r="AL35"/>
    </row>
    <row r="36" spans="1:41" x14ac:dyDescent="0.25">
      <c r="A36">
        <v>5021199000</v>
      </c>
      <c r="B36" s="4">
        <v>101.25</v>
      </c>
      <c r="F36" s="361">
        <v>5010102000</v>
      </c>
      <c r="G36" s="4">
        <v>-14930.3</v>
      </c>
      <c r="K36" s="343">
        <v>5029903000</v>
      </c>
      <c r="L36" s="340">
        <v>-685</v>
      </c>
      <c r="M36" s="345"/>
      <c r="S36" s="384">
        <v>5029903000</v>
      </c>
      <c r="T36" s="340">
        <v>-93000</v>
      </c>
      <c r="U36" s="340"/>
      <c r="AC36" s="342"/>
      <c r="AG36" s="409">
        <v>1040299000</v>
      </c>
      <c r="AH36" s="405">
        <v>-24471282.859999999</v>
      </c>
      <c r="AJ36"/>
      <c r="AK36"/>
      <c r="AL36"/>
      <c r="AN36" s="343" t="s">
        <v>423</v>
      </c>
    </row>
    <row r="37" spans="1:41" x14ac:dyDescent="0.25">
      <c r="A37">
        <v>5021199000</v>
      </c>
      <c r="B37" s="4">
        <v>844.02</v>
      </c>
      <c r="F37" s="361">
        <v>5029999099</v>
      </c>
      <c r="G37" s="4">
        <v>-24379</v>
      </c>
      <c r="K37" s="343">
        <v>5021499000</v>
      </c>
      <c r="L37" s="340">
        <v>-104000</v>
      </c>
      <c r="M37" s="345"/>
      <c r="S37" s="384">
        <v>5020201000</v>
      </c>
      <c r="T37" s="340">
        <v>-85500</v>
      </c>
      <c r="U37" s="340"/>
      <c r="AG37" s="405" t="s">
        <v>405</v>
      </c>
      <c r="AH37" s="410">
        <f>SUM(AH34:AH36)</f>
        <v>-61776999.379999995</v>
      </c>
      <c r="AN37" s="343">
        <v>1040202000</v>
      </c>
      <c r="AO37" s="340">
        <v>-6310863.1500000004</v>
      </c>
    </row>
    <row r="38" spans="1:41" x14ac:dyDescent="0.25">
      <c r="A38">
        <v>5021199000</v>
      </c>
      <c r="B38" s="4">
        <v>250.31</v>
      </c>
      <c r="F38" s="361">
        <v>5010102000</v>
      </c>
      <c r="G38" s="4">
        <v>-789.76</v>
      </c>
      <c r="K38" s="343">
        <v>5020307000</v>
      </c>
      <c r="L38" s="340">
        <v>-34</v>
      </c>
      <c r="M38" s="345"/>
      <c r="S38" s="384">
        <v>5021499000</v>
      </c>
      <c r="T38" s="340">
        <v>-42000</v>
      </c>
      <c r="U38" s="340"/>
      <c r="AB38" s="342"/>
      <c r="AC38" s="342"/>
      <c r="AD38" s="345"/>
      <c r="AE38" s="345"/>
      <c r="AG38" s="340"/>
    </row>
    <row r="39" spans="1:41" x14ac:dyDescent="0.25">
      <c r="A39">
        <v>5021199000</v>
      </c>
      <c r="B39" s="4">
        <v>681.53</v>
      </c>
      <c r="F39" s="361">
        <v>5010102000</v>
      </c>
      <c r="G39" s="4">
        <v>-4818.5</v>
      </c>
      <c r="K39" s="343">
        <v>5021499000</v>
      </c>
      <c r="L39" s="340">
        <v>-970600</v>
      </c>
      <c r="M39" s="345"/>
      <c r="S39" s="384">
        <v>5021499000</v>
      </c>
      <c r="T39" s="340">
        <v>-48000</v>
      </c>
      <c r="U39" s="340"/>
      <c r="AG39" s="340" t="s">
        <v>406</v>
      </c>
      <c r="AN39" s="343" t="s">
        <v>424</v>
      </c>
    </row>
    <row r="40" spans="1:41" x14ac:dyDescent="0.25">
      <c r="F40" s="361">
        <v>5010102000</v>
      </c>
      <c r="G40" s="4">
        <v>3200</v>
      </c>
      <c r="K40" s="343">
        <v>5021499000</v>
      </c>
      <c r="L40" s="340">
        <v>-20000</v>
      </c>
      <c r="M40" s="345"/>
      <c r="S40" s="384">
        <v>5020201000</v>
      </c>
      <c r="T40" s="340">
        <v>-24000</v>
      </c>
      <c r="U40" s="340"/>
      <c r="AB40" s="339"/>
      <c r="AC40" s="339"/>
      <c r="AD40" s="350"/>
      <c r="AG40" s="411">
        <v>1040401000</v>
      </c>
      <c r="AH40" s="405">
        <v>-244871.33</v>
      </c>
      <c r="AN40" s="343">
        <v>5020399000</v>
      </c>
      <c r="AO40" s="340">
        <v>-10769713.5</v>
      </c>
    </row>
    <row r="41" spans="1:41" x14ac:dyDescent="0.25">
      <c r="C41" s="336" t="s">
        <v>252</v>
      </c>
      <c r="D41" s="4">
        <f>SUM(D42:D49)/2</f>
        <v>-783135.30999999994</v>
      </c>
      <c r="E41" s="4">
        <f>D41-B3</f>
        <v>0</v>
      </c>
      <c r="F41" s="361">
        <v>5010101001</v>
      </c>
      <c r="G41" s="4">
        <v>2900</v>
      </c>
      <c r="K41" s="343">
        <v>5020101000</v>
      </c>
      <c r="L41" s="340">
        <v>-3662</v>
      </c>
      <c r="M41" s="345"/>
      <c r="S41" s="384">
        <v>5020201000</v>
      </c>
      <c r="T41" s="340">
        <v>-24000</v>
      </c>
      <c r="U41" s="340"/>
      <c r="AC41" s="342"/>
      <c r="AD41" s="342"/>
      <c r="AG41" s="411">
        <v>1040499000</v>
      </c>
      <c r="AH41" s="405">
        <v>-181730</v>
      </c>
    </row>
    <row r="42" spans="1:41" x14ac:dyDescent="0.25">
      <c r="A42" s="336" t="s">
        <v>252</v>
      </c>
      <c r="B42" s="237">
        <f>SUM(B43:B84)</f>
        <v>-783135.31</v>
      </c>
      <c r="C42" s="250" t="s">
        <v>277</v>
      </c>
      <c r="D42" s="4" t="s">
        <v>341</v>
      </c>
      <c r="F42" s="361">
        <v>5010102000</v>
      </c>
      <c r="G42" s="4">
        <v>3200</v>
      </c>
      <c r="K42" s="343">
        <v>5020101000</v>
      </c>
      <c r="L42" s="340">
        <v>-35800</v>
      </c>
      <c r="M42" s="345"/>
      <c r="S42" s="384">
        <v>5029903000</v>
      </c>
      <c r="T42" s="340">
        <v>-18900</v>
      </c>
      <c r="U42" s="340"/>
      <c r="AC42" s="342"/>
    </row>
    <row r="43" spans="1:41" x14ac:dyDescent="0.25">
      <c r="A43">
        <v>5020401000</v>
      </c>
      <c r="B43" s="4">
        <v>-2000</v>
      </c>
      <c r="C43" s="354">
        <v>5010102000</v>
      </c>
      <c r="D43" s="244">
        <v>-199694.06</v>
      </c>
      <c r="K43" s="343">
        <v>5020101000</v>
      </c>
      <c r="L43" s="340">
        <v>-26000</v>
      </c>
      <c r="M43" s="345"/>
      <c r="S43" s="384">
        <v>5029903000</v>
      </c>
      <c r="T43" s="340">
        <v>-28000</v>
      </c>
      <c r="U43" s="340"/>
      <c r="AC43" s="342"/>
      <c r="AD43" s="342"/>
      <c r="AG43" s="402" t="s">
        <v>407</v>
      </c>
    </row>
    <row r="44" spans="1:41" x14ac:dyDescent="0.25">
      <c r="A44">
        <v>5010102000</v>
      </c>
      <c r="B44" s="4">
        <v>-100</v>
      </c>
      <c r="C44" s="354">
        <v>5010302001</v>
      </c>
      <c r="D44" s="244">
        <v>-12700</v>
      </c>
      <c r="F44" s="337" t="s">
        <v>252</v>
      </c>
      <c r="G44" s="237">
        <f>SUM(G45:G70)</f>
        <v>-956139.58000000007</v>
      </c>
      <c r="H44" s="250" t="s">
        <v>277</v>
      </c>
      <c r="I44" s="248" t="s">
        <v>351</v>
      </c>
      <c r="J44"/>
      <c r="K44" s="343">
        <v>5020101000</v>
      </c>
      <c r="L44" s="340">
        <v>-32400</v>
      </c>
      <c r="M44" s="345"/>
      <c r="S44" s="384">
        <v>5020308000</v>
      </c>
      <c r="T44" s="340">
        <v>-5000</v>
      </c>
      <c r="U44" s="340"/>
      <c r="AB44" s="342"/>
      <c r="AC44" s="342"/>
      <c r="AD44" s="345"/>
      <c r="AG44" s="411" t="s">
        <v>408</v>
      </c>
      <c r="AH44" s="405">
        <v>89409.279999999999</v>
      </c>
    </row>
    <row r="45" spans="1:41" x14ac:dyDescent="0.25">
      <c r="A45">
        <v>5010102000</v>
      </c>
      <c r="B45" s="4">
        <v>-200</v>
      </c>
      <c r="C45" s="354">
        <v>5020401000</v>
      </c>
      <c r="D45" s="244">
        <v>-2400</v>
      </c>
      <c r="F45" s="361">
        <v>5021199000</v>
      </c>
      <c r="G45" s="4">
        <v>16662.34</v>
      </c>
      <c r="H45" s="354">
        <v>5010102000</v>
      </c>
      <c r="I45" s="247">
        <v>-226593.24999999997</v>
      </c>
      <c r="J45"/>
      <c r="K45" s="343">
        <v>5020101000</v>
      </c>
      <c r="L45" s="340">
        <v>-45600</v>
      </c>
      <c r="M45" s="345"/>
      <c r="S45" s="384">
        <v>5020201000</v>
      </c>
      <c r="T45" s="340">
        <v>-29940</v>
      </c>
      <c r="U45" s="340"/>
      <c r="AB45" s="342"/>
      <c r="AC45" s="342"/>
      <c r="AD45" s="345"/>
    </row>
    <row r="46" spans="1:41" x14ac:dyDescent="0.25">
      <c r="A46">
        <v>5010102000</v>
      </c>
      <c r="B46" s="4">
        <v>-100</v>
      </c>
      <c r="C46" s="354">
        <v>5021199000</v>
      </c>
      <c r="D46" s="244">
        <v>-45836.52</v>
      </c>
      <c r="F46" s="361">
        <v>5010102000</v>
      </c>
      <c r="G46" s="4">
        <v>-114334.86</v>
      </c>
      <c r="H46" s="354">
        <v>5010299011</v>
      </c>
      <c r="I46" s="247">
        <v>-115764.29000000001</v>
      </c>
      <c r="J46"/>
      <c r="K46" s="343">
        <v>5020101000</v>
      </c>
      <c r="L46" s="340">
        <v>-16075</v>
      </c>
      <c r="M46" s="345"/>
      <c r="S46" s="384">
        <v>5021499000</v>
      </c>
      <c r="T46" s="340">
        <v>-1422000</v>
      </c>
      <c r="U46" s="340"/>
      <c r="AG46" s="402" t="s">
        <v>409</v>
      </c>
    </row>
    <row r="47" spans="1:41" x14ac:dyDescent="0.25">
      <c r="A47">
        <v>5010102000</v>
      </c>
      <c r="B47" s="4">
        <v>-100</v>
      </c>
      <c r="C47" s="354">
        <v>5021203000</v>
      </c>
      <c r="D47" s="244">
        <v>-532279.12</v>
      </c>
      <c r="F47" s="361">
        <v>5010102000</v>
      </c>
      <c r="G47" s="4">
        <v>-5000</v>
      </c>
      <c r="H47" s="354">
        <v>5010299014</v>
      </c>
      <c r="I47" s="247">
        <v>-6049.01</v>
      </c>
      <c r="J47"/>
      <c r="K47" s="343">
        <v>5020101000</v>
      </c>
      <c r="L47" s="340">
        <v>-4496</v>
      </c>
      <c r="M47" s="345"/>
      <c r="S47" s="384">
        <v>5020101000</v>
      </c>
      <c r="T47" s="340">
        <v>-79500</v>
      </c>
      <c r="U47" s="340"/>
      <c r="AB47" s="342"/>
      <c r="AG47" s="411" t="s">
        <v>408</v>
      </c>
      <c r="AH47" s="405">
        <f>41648.33</f>
        <v>41648.33</v>
      </c>
    </row>
    <row r="48" spans="1:41" x14ac:dyDescent="0.25">
      <c r="A48">
        <v>5010102000</v>
      </c>
      <c r="B48" s="4">
        <v>-100</v>
      </c>
      <c r="C48" s="354">
        <v>5021601000</v>
      </c>
      <c r="D48" s="244">
        <v>9774.39</v>
      </c>
      <c r="F48" s="361">
        <v>5010299011</v>
      </c>
      <c r="G48" s="4">
        <v>-500</v>
      </c>
      <c r="H48" s="354">
        <v>5010499099</v>
      </c>
      <c r="I48" s="247">
        <v>-76000</v>
      </c>
      <c r="J48"/>
      <c r="K48" s="343">
        <v>5020101000</v>
      </c>
      <c r="L48" s="340">
        <v>-16241</v>
      </c>
      <c r="M48" s="345"/>
      <c r="S48" s="384">
        <v>5020399000</v>
      </c>
      <c r="T48" s="340">
        <v>-13579</v>
      </c>
      <c r="U48" s="340"/>
      <c r="AD48" s="345"/>
      <c r="AG48" s="411" t="s">
        <v>413</v>
      </c>
      <c r="AH48" s="405">
        <f>41648.33</f>
        <v>41648.33</v>
      </c>
    </row>
    <row r="49" spans="1:42" x14ac:dyDescent="0.25">
      <c r="A49">
        <v>5010102000</v>
      </c>
      <c r="B49" s="4">
        <v>-80600</v>
      </c>
      <c r="C49" s="251" t="s">
        <v>278</v>
      </c>
      <c r="D49" s="4">
        <v>-783135.30999999994</v>
      </c>
      <c r="F49" s="361">
        <v>5010102000</v>
      </c>
      <c r="G49" s="4">
        <v>-1000</v>
      </c>
      <c r="H49" s="354">
        <v>5021199000</v>
      </c>
      <c r="I49" s="247">
        <v>5616.8899999999994</v>
      </c>
      <c r="J49"/>
      <c r="K49" s="343">
        <v>5020101000</v>
      </c>
      <c r="L49" s="340">
        <v>-24150</v>
      </c>
      <c r="M49" s="345"/>
      <c r="S49" s="384">
        <v>5020399000</v>
      </c>
      <c r="T49" s="340">
        <v>-12153.5</v>
      </c>
      <c r="U49" s="340"/>
      <c r="AD49" s="345"/>
      <c r="AG49" s="402" t="s">
        <v>410</v>
      </c>
      <c r="AN49" s="343" t="s">
        <v>425</v>
      </c>
    </row>
    <row r="50" spans="1:42" x14ac:dyDescent="0.25">
      <c r="A50">
        <v>5010302001</v>
      </c>
      <c r="B50" s="4">
        <v>-10100</v>
      </c>
      <c r="C50"/>
      <c r="F50" s="361">
        <v>5010102000</v>
      </c>
      <c r="G50" s="4">
        <v>-5000</v>
      </c>
      <c r="H50" s="354">
        <v>5021203000</v>
      </c>
      <c r="I50" s="247">
        <v>-537349.92000000004</v>
      </c>
      <c r="J50"/>
      <c r="K50" s="343">
        <v>5020101000</v>
      </c>
      <c r="L50" s="340">
        <v>-7886</v>
      </c>
      <c r="M50" s="345"/>
      <c r="S50" s="384">
        <v>5020399000</v>
      </c>
      <c r="T50" s="340">
        <v>-4369</v>
      </c>
      <c r="U50" s="340"/>
      <c r="AG50" s="411">
        <v>5020301002</v>
      </c>
      <c r="AH50" s="405">
        <v>15224</v>
      </c>
      <c r="AN50" s="343" t="s">
        <v>426</v>
      </c>
      <c r="AO50" s="340">
        <v>-14943057.99</v>
      </c>
    </row>
    <row r="51" spans="1:42" x14ac:dyDescent="0.25">
      <c r="A51">
        <v>5010302001</v>
      </c>
      <c r="B51" s="4">
        <v>-2600</v>
      </c>
      <c r="C51"/>
      <c r="F51" s="361">
        <v>5010299011</v>
      </c>
      <c r="G51" s="4">
        <v>-29650</v>
      </c>
      <c r="H51" s="251" t="s">
        <v>278</v>
      </c>
      <c r="I51" s="248">
        <v>-956139.58000000007</v>
      </c>
      <c r="J51"/>
      <c r="K51" s="343">
        <v>5020101000</v>
      </c>
      <c r="L51" s="340">
        <v>-22191</v>
      </c>
      <c r="M51" s="345"/>
      <c r="S51" s="384">
        <v>5029903000</v>
      </c>
      <c r="T51" s="340">
        <v>-114000</v>
      </c>
      <c r="U51" s="340"/>
      <c r="AG51" s="411">
        <v>5029901000</v>
      </c>
      <c r="AH51" s="405">
        <v>181730</v>
      </c>
      <c r="AN51" s="343" t="s">
        <v>427</v>
      </c>
      <c r="AO51" s="340">
        <f>-60000-102742.01</f>
        <v>-162742.01</v>
      </c>
    </row>
    <row r="52" spans="1:42" x14ac:dyDescent="0.25">
      <c r="A52">
        <v>5010102000</v>
      </c>
      <c r="B52" s="4">
        <v>-300</v>
      </c>
      <c r="C52"/>
      <c r="F52" s="361">
        <v>5010299011</v>
      </c>
      <c r="G52" s="4">
        <v>-25614.29</v>
      </c>
      <c r="H52"/>
      <c r="I52" s="248">
        <f>GETPIVOTDATA("-956,139.58 ",$H$44)-G3</f>
        <v>0</v>
      </c>
      <c r="J52"/>
      <c r="K52" s="343">
        <v>5020101000</v>
      </c>
      <c r="L52" s="340">
        <v>-12533</v>
      </c>
      <c r="M52" s="345"/>
      <c r="S52" s="384">
        <v>5021199000</v>
      </c>
      <c r="T52" s="340">
        <v>-5000</v>
      </c>
      <c r="U52" s="340"/>
      <c r="AB52" s="342"/>
      <c r="AG52" s="411" t="s">
        <v>411</v>
      </c>
      <c r="AH52" s="405">
        <v>3082968.13</v>
      </c>
    </row>
    <row r="53" spans="1:42" x14ac:dyDescent="0.25">
      <c r="A53">
        <v>5010102000</v>
      </c>
      <c r="B53" s="4">
        <v>-100</v>
      </c>
      <c r="C53"/>
      <c r="F53" s="361">
        <v>5021199000</v>
      </c>
      <c r="G53" s="4">
        <v>-11045.45</v>
      </c>
      <c r="H53"/>
      <c r="I53"/>
      <c r="J53"/>
      <c r="K53" s="343">
        <v>5020201000</v>
      </c>
      <c r="L53" s="340">
        <v>-188005</v>
      </c>
      <c r="M53" s="345"/>
      <c r="S53" s="384">
        <v>5021499000</v>
      </c>
      <c r="T53" s="340">
        <v>-12000</v>
      </c>
      <c r="U53" s="340"/>
      <c r="AH53" s="340"/>
      <c r="AN53" s="343" t="s">
        <v>406</v>
      </c>
    </row>
    <row r="54" spans="1:42" x14ac:dyDescent="0.25">
      <c r="A54">
        <v>5010102000</v>
      </c>
      <c r="B54" s="4">
        <v>-2500</v>
      </c>
      <c r="C54"/>
      <c r="F54" s="361">
        <v>5010299014</v>
      </c>
      <c r="G54" s="4">
        <v>-6049.01</v>
      </c>
      <c r="H54"/>
      <c r="I54"/>
      <c r="J54"/>
      <c r="K54" s="343">
        <v>5029999099</v>
      </c>
      <c r="L54" s="340">
        <v>-3</v>
      </c>
      <c r="M54" s="345"/>
      <c r="S54" s="384">
        <v>5021499000</v>
      </c>
      <c r="T54" s="340">
        <v>-1605000</v>
      </c>
      <c r="U54" s="340"/>
      <c r="AG54" s="402" t="s">
        <v>412</v>
      </c>
      <c r="AO54" s="340">
        <f>SUM(AO55:AO59)</f>
        <v>-2292610.9299999997</v>
      </c>
    </row>
    <row r="55" spans="1:42" x14ac:dyDescent="0.25">
      <c r="A55">
        <v>5010102000</v>
      </c>
      <c r="B55" s="4">
        <v>-200</v>
      </c>
      <c r="C55"/>
      <c r="F55" s="361">
        <v>5010102000</v>
      </c>
      <c r="G55" s="4">
        <v>-1710.77</v>
      </c>
      <c r="H55"/>
      <c r="I55"/>
      <c r="J55"/>
      <c r="K55" s="343">
        <v>5021499000</v>
      </c>
      <c r="L55" s="340">
        <v>-40000</v>
      </c>
      <c r="M55" s="345"/>
      <c r="S55" s="384">
        <v>5021499000</v>
      </c>
      <c r="T55" s="340">
        <v>-130700</v>
      </c>
      <c r="U55" s="340"/>
      <c r="AG55" s="411" t="s">
        <v>414</v>
      </c>
      <c r="AH55" s="405">
        <v>-23760</v>
      </c>
      <c r="AI55" s="345">
        <f>AH55*2</f>
        <v>-47520</v>
      </c>
      <c r="AN55" s="409">
        <v>1040401000</v>
      </c>
      <c r="AO55" s="405">
        <v>53737.79</v>
      </c>
    </row>
    <row r="56" spans="1:42" x14ac:dyDescent="0.25">
      <c r="A56">
        <v>5010102000</v>
      </c>
      <c r="B56" s="4">
        <v>-4700</v>
      </c>
      <c r="C56"/>
      <c r="F56" s="361">
        <v>5010102000</v>
      </c>
      <c r="G56" s="4">
        <v>-25500.21</v>
      </c>
      <c r="H56"/>
      <c r="I56"/>
      <c r="J56"/>
      <c r="K56" s="343">
        <v>5021499000</v>
      </c>
      <c r="L56" s="340">
        <v>-10000</v>
      </c>
      <c r="M56" s="345"/>
      <c r="S56" s="384">
        <v>5021499000</v>
      </c>
      <c r="T56" s="340">
        <v>-145000</v>
      </c>
      <c r="U56" s="340"/>
      <c r="AN56" s="409">
        <v>1040405000</v>
      </c>
      <c r="AO56" s="405">
        <v>-1580974.63</v>
      </c>
    </row>
    <row r="57" spans="1:42" x14ac:dyDescent="0.25">
      <c r="A57">
        <v>5010102000</v>
      </c>
      <c r="B57" s="4">
        <v>-600</v>
      </c>
      <c r="C57"/>
      <c r="F57" s="361">
        <v>5010102000</v>
      </c>
      <c r="G57" s="4">
        <v>-3179.28</v>
      </c>
      <c r="H57"/>
      <c r="I57"/>
      <c r="J57"/>
      <c r="K57" s="343">
        <v>5020101000</v>
      </c>
      <c r="L57" s="340">
        <v>-39485</v>
      </c>
      <c r="M57" s="345"/>
      <c r="S57" s="384">
        <v>5021499000</v>
      </c>
      <c r="T57" s="340">
        <v>-60000</v>
      </c>
      <c r="U57" s="340"/>
      <c r="AN57" s="409">
        <v>1040499000</v>
      </c>
      <c r="AO57" s="405">
        <v>-678562.05</v>
      </c>
    </row>
    <row r="58" spans="1:42" x14ac:dyDescent="0.25">
      <c r="A58">
        <v>5010102000</v>
      </c>
      <c r="B58" s="4">
        <v>-100</v>
      </c>
      <c r="C58"/>
      <c r="F58" s="361">
        <v>5010102000</v>
      </c>
      <c r="G58" s="4">
        <v>-2368.02</v>
      </c>
      <c r="H58"/>
      <c r="I58"/>
      <c r="J58"/>
      <c r="K58" s="343">
        <v>5020101000</v>
      </c>
      <c r="L58" s="340">
        <v>-162</v>
      </c>
      <c r="M58" s="345"/>
      <c r="S58" s="384">
        <v>5021499000</v>
      </c>
      <c r="T58" s="340">
        <v>-112400</v>
      </c>
      <c r="U58" s="340"/>
      <c r="AD58" s="340"/>
      <c r="AN58" s="409">
        <v>1040406000</v>
      </c>
      <c r="AO58" s="405">
        <v>-1812.29</v>
      </c>
    </row>
    <row r="59" spans="1:42" x14ac:dyDescent="0.25">
      <c r="A59">
        <v>5010102000</v>
      </c>
      <c r="B59" s="4">
        <v>-700</v>
      </c>
      <c r="C59"/>
      <c r="F59" s="361">
        <v>5010102000</v>
      </c>
      <c r="G59" s="4">
        <v>-11660</v>
      </c>
      <c r="H59"/>
      <c r="I59"/>
      <c r="J59"/>
      <c r="K59" s="343">
        <v>5020101000</v>
      </c>
      <c r="L59" s="340">
        <v>-4350</v>
      </c>
      <c r="M59" s="345"/>
      <c r="S59" s="384">
        <v>5021499000</v>
      </c>
      <c r="T59" s="340">
        <v>-100000</v>
      </c>
      <c r="U59" s="340"/>
      <c r="AN59" s="409">
        <v>1040407000</v>
      </c>
      <c r="AO59" s="405">
        <v>-84999.75</v>
      </c>
    </row>
    <row r="60" spans="1:42" x14ac:dyDescent="0.25">
      <c r="A60">
        <v>5010102000</v>
      </c>
      <c r="B60" s="4">
        <v>-100</v>
      </c>
      <c r="F60" s="361">
        <v>5010102000</v>
      </c>
      <c r="G60" s="4">
        <v>-26151.62</v>
      </c>
      <c r="H60"/>
      <c r="I60"/>
      <c r="J60"/>
      <c r="K60" s="343">
        <v>5020101000</v>
      </c>
      <c r="L60" s="340">
        <v>-28452</v>
      </c>
      <c r="M60" s="345"/>
      <c r="S60" s="384">
        <v>5021499000</v>
      </c>
      <c r="T60" s="340">
        <v>-228462.22</v>
      </c>
      <c r="U60" s="340"/>
      <c r="AN60" s="409">
        <v>5020307000</v>
      </c>
      <c r="AO60" s="405">
        <v>-17175.21</v>
      </c>
    </row>
    <row r="61" spans="1:42" x14ac:dyDescent="0.25">
      <c r="A61">
        <v>5010102000</v>
      </c>
      <c r="B61" s="4">
        <v>-100</v>
      </c>
      <c r="F61" s="361">
        <v>5010102000</v>
      </c>
      <c r="G61" s="4">
        <v>-10000</v>
      </c>
      <c r="H61"/>
      <c r="I61"/>
      <c r="J61"/>
      <c r="K61" s="343">
        <v>5029903000</v>
      </c>
      <c r="L61" s="340">
        <v>-76800</v>
      </c>
      <c r="M61" s="345"/>
      <c r="S61" s="384">
        <v>5021499000</v>
      </c>
      <c r="T61" s="340">
        <v>-770472.28</v>
      </c>
      <c r="U61" s="340"/>
      <c r="AB61" s="342"/>
      <c r="AC61" s="342"/>
      <c r="AD61" s="345"/>
    </row>
    <row r="62" spans="1:42" x14ac:dyDescent="0.25">
      <c r="A62">
        <v>5010102000</v>
      </c>
      <c r="B62" s="4">
        <v>-36619</v>
      </c>
      <c r="F62" s="361">
        <v>5010102000</v>
      </c>
      <c r="G62" s="4">
        <v>-700</v>
      </c>
      <c r="K62" s="343">
        <v>5020201000</v>
      </c>
      <c r="L62" s="340">
        <v>-2925</v>
      </c>
      <c r="M62" s="345"/>
      <c r="S62" s="384">
        <v>5021499000</v>
      </c>
      <c r="T62" s="340">
        <v>-304480.52</v>
      </c>
      <c r="U62" s="340"/>
      <c r="AB62" s="339"/>
      <c r="AD62" s="345"/>
      <c r="AN62" s="343" t="s">
        <v>428</v>
      </c>
    </row>
    <row r="63" spans="1:42" x14ac:dyDescent="0.25">
      <c r="A63">
        <v>5010102000</v>
      </c>
      <c r="B63" s="4">
        <v>-14547.44</v>
      </c>
      <c r="F63" s="361">
        <v>5010299011</v>
      </c>
      <c r="G63" s="4">
        <v>-60000</v>
      </c>
      <c r="K63" s="343">
        <v>5020101000</v>
      </c>
      <c r="L63" s="340">
        <v>-78645</v>
      </c>
      <c r="M63" s="345"/>
      <c r="S63" s="384">
        <v>5021499000</v>
      </c>
      <c r="T63" s="340">
        <v>-174405.8</v>
      </c>
      <c r="U63" s="340"/>
      <c r="AD63" s="345"/>
      <c r="AN63" s="409">
        <v>1030303000</v>
      </c>
      <c r="AO63" s="405">
        <v>-15742312.039999999</v>
      </c>
      <c r="AP63" s="343">
        <v>5021499000</v>
      </c>
    </row>
    <row r="64" spans="1:42" x14ac:dyDescent="0.25">
      <c r="A64">
        <v>5010102000</v>
      </c>
      <c r="B64" s="4">
        <v>-12275.43</v>
      </c>
      <c r="F64" s="361">
        <v>5010102000</v>
      </c>
      <c r="G64" s="4">
        <v>-200</v>
      </c>
      <c r="K64" s="343">
        <v>5020101000</v>
      </c>
      <c r="L64" s="340">
        <v>-65805</v>
      </c>
      <c r="M64" s="345"/>
      <c r="S64" s="384">
        <v>5021499000</v>
      </c>
      <c r="T64" s="340">
        <v>-720000</v>
      </c>
      <c r="U64" s="340"/>
      <c r="AN64" s="409">
        <v>1030303000</v>
      </c>
      <c r="AO64" s="405">
        <v>21720897.239999998</v>
      </c>
      <c r="AP64" s="343">
        <v>3010101000</v>
      </c>
    </row>
    <row r="65" spans="1:30" x14ac:dyDescent="0.25">
      <c r="A65">
        <v>5010102000</v>
      </c>
      <c r="B65" s="4">
        <v>-2693.27</v>
      </c>
      <c r="F65" s="361">
        <v>5010102000</v>
      </c>
      <c r="G65" s="4">
        <v>-4938.5600000000004</v>
      </c>
      <c r="K65" s="343">
        <v>5020101000</v>
      </c>
      <c r="L65" s="340">
        <v>-78800</v>
      </c>
      <c r="M65" s="345"/>
      <c r="S65" s="384">
        <v>5021499000</v>
      </c>
      <c r="T65" s="340">
        <v>-30000</v>
      </c>
      <c r="U65" s="340"/>
    </row>
    <row r="66" spans="1:30" x14ac:dyDescent="0.25">
      <c r="A66">
        <v>5010102000</v>
      </c>
      <c r="B66" s="4">
        <v>-2469.2800000000002</v>
      </c>
      <c r="F66" s="361">
        <v>5010499099</v>
      </c>
      <c r="G66" s="4">
        <v>-40000</v>
      </c>
      <c r="K66" s="343">
        <v>5020101000</v>
      </c>
      <c r="L66" s="340">
        <v>-7584</v>
      </c>
      <c r="M66" s="345"/>
      <c r="S66" s="384">
        <v>5021499000</v>
      </c>
      <c r="T66" s="340">
        <v>-10000</v>
      </c>
      <c r="U66" s="340"/>
      <c r="AD66" s="345"/>
    </row>
    <row r="67" spans="1:30" x14ac:dyDescent="0.25">
      <c r="A67">
        <v>5010102000</v>
      </c>
      <c r="B67" s="4">
        <v>-2317.5100000000002</v>
      </c>
      <c r="F67" s="361">
        <v>5010102000</v>
      </c>
      <c r="G67" s="4">
        <v>-14849.93</v>
      </c>
      <c r="K67" s="343">
        <v>5020101000</v>
      </c>
      <c r="L67" s="340">
        <v>-61806</v>
      </c>
      <c r="M67" s="345"/>
      <c r="S67" s="384">
        <v>5021499000</v>
      </c>
      <c r="T67" s="340">
        <v>-428500.95</v>
      </c>
      <c r="U67" s="340"/>
      <c r="AD67" s="345"/>
    </row>
    <row r="68" spans="1:30" x14ac:dyDescent="0.25">
      <c r="A68">
        <v>5010102000</v>
      </c>
      <c r="B68" s="4">
        <v>-2469.2800000000002</v>
      </c>
      <c r="F68" s="361">
        <v>5010499099</v>
      </c>
      <c r="G68" s="4">
        <v>-16000</v>
      </c>
      <c r="K68" s="343">
        <v>5020101000</v>
      </c>
      <c r="L68" s="340">
        <v>-49238</v>
      </c>
      <c r="M68" s="345"/>
      <c r="S68" s="384">
        <v>5029903000</v>
      </c>
      <c r="T68" s="340">
        <v>-12000</v>
      </c>
      <c r="U68" s="340"/>
      <c r="AD68" s="345"/>
    </row>
    <row r="69" spans="1:30" x14ac:dyDescent="0.25">
      <c r="A69">
        <v>5020401000</v>
      </c>
      <c r="B69" s="4">
        <v>-200</v>
      </c>
      <c r="F69" s="361">
        <v>5010499099</v>
      </c>
      <c r="G69" s="4">
        <v>-20000</v>
      </c>
      <c r="K69" s="343">
        <v>5020101000</v>
      </c>
      <c r="L69" s="340">
        <v>-80410</v>
      </c>
      <c r="M69" s="345"/>
      <c r="S69" s="384">
        <v>5029903000</v>
      </c>
      <c r="T69" s="340">
        <v>-110000</v>
      </c>
      <c r="U69" s="340"/>
      <c r="AD69" s="345"/>
    </row>
    <row r="70" spans="1:30" x14ac:dyDescent="0.25">
      <c r="A70">
        <v>5020401000</v>
      </c>
      <c r="B70" s="4">
        <v>-200</v>
      </c>
      <c r="F70" s="361">
        <v>5021203000</v>
      </c>
      <c r="G70" s="4">
        <v>-537349.92000000004</v>
      </c>
      <c r="K70" s="343">
        <v>5020101000</v>
      </c>
      <c r="L70" s="340">
        <v>-37636</v>
      </c>
      <c r="M70" s="345"/>
      <c r="S70" s="384">
        <v>5020201000</v>
      </c>
      <c r="T70" s="340">
        <v>-193050</v>
      </c>
      <c r="U70" s="340"/>
      <c r="AD70" s="345"/>
    </row>
    <row r="71" spans="1:30" x14ac:dyDescent="0.25">
      <c r="A71">
        <v>5010102000</v>
      </c>
      <c r="B71" s="4">
        <v>-8099.85</v>
      </c>
      <c r="K71" s="343">
        <v>5020101000</v>
      </c>
      <c r="L71" s="340">
        <v>-462</v>
      </c>
      <c r="M71" s="345"/>
      <c r="S71" s="384">
        <v>5020307000</v>
      </c>
      <c r="T71" s="340">
        <v>-34094</v>
      </c>
      <c r="U71" s="340"/>
      <c r="AD71" s="345"/>
    </row>
    <row r="72" spans="1:30" x14ac:dyDescent="0.25">
      <c r="A72">
        <v>5021199000</v>
      </c>
      <c r="B72" s="4">
        <v>-33290</v>
      </c>
      <c r="F72" s="236" t="s">
        <v>342</v>
      </c>
      <c r="G72" s="237">
        <f>G73+G81+G88+G91+G95</f>
        <v>-207923384.89916667</v>
      </c>
      <c r="I72"/>
      <c r="J72"/>
      <c r="K72" s="343">
        <v>5020101000</v>
      </c>
      <c r="L72" s="340">
        <v>-18458</v>
      </c>
      <c r="M72" s="345"/>
      <c r="S72" s="384">
        <v>5020322001</v>
      </c>
      <c r="T72" s="340">
        <v>-91300</v>
      </c>
      <c r="U72" s="340"/>
      <c r="AD72" s="345"/>
    </row>
    <row r="73" spans="1:30" x14ac:dyDescent="0.25">
      <c r="A73">
        <v>5021199000</v>
      </c>
      <c r="B73" s="4">
        <v>-14668.25</v>
      </c>
      <c r="F73" s="362" t="s">
        <v>343</v>
      </c>
      <c r="G73" s="243">
        <f>SUM(G74:G78)</f>
        <v>-2580493.27</v>
      </c>
      <c r="H73" s="4">
        <f>G73-'[23]JEV-GJ.Control'!$F$115</f>
        <v>0</v>
      </c>
      <c r="K73" s="343">
        <v>5020101000</v>
      </c>
      <c r="L73" s="340">
        <v>-26660</v>
      </c>
      <c r="M73" s="345"/>
      <c r="S73" s="384">
        <v>5029999099</v>
      </c>
      <c r="T73" s="340">
        <v>-4998</v>
      </c>
      <c r="U73" s="340"/>
      <c r="AB73" s="342"/>
    </row>
    <row r="74" spans="1:30" x14ac:dyDescent="0.25">
      <c r="A74">
        <v>5010102000</v>
      </c>
      <c r="B74" s="4">
        <v>-4494.28</v>
      </c>
      <c r="F74" s="361">
        <v>1040499000</v>
      </c>
      <c r="G74" s="4">
        <v>-2000</v>
      </c>
      <c r="I74" s="250" t="s">
        <v>277</v>
      </c>
      <c r="J74" t="s">
        <v>354</v>
      </c>
      <c r="K74" s="343">
        <v>5020101000</v>
      </c>
      <c r="L74" s="340">
        <v>-36188</v>
      </c>
      <c r="M74" s="345"/>
      <c r="S74" s="384">
        <v>5021499000</v>
      </c>
      <c r="T74" s="340">
        <v>-25000</v>
      </c>
      <c r="U74" s="340"/>
      <c r="AC74" s="342"/>
    </row>
    <row r="75" spans="1:30" x14ac:dyDescent="0.25">
      <c r="A75">
        <v>5010102000</v>
      </c>
      <c r="B75" s="4">
        <v>-2756.1</v>
      </c>
      <c r="F75" s="361">
        <v>1040499000</v>
      </c>
      <c r="G75" s="4">
        <v>2000</v>
      </c>
      <c r="I75" s="354">
        <v>1040401000</v>
      </c>
      <c r="J75" s="247">
        <v>-2528738.27</v>
      </c>
      <c r="K75">
        <v>5020101000</v>
      </c>
      <c r="L75" s="340">
        <v>-54510</v>
      </c>
      <c r="M75" s="345"/>
      <c r="S75" s="384">
        <v>5021499000</v>
      </c>
      <c r="T75" s="340">
        <v>-150000</v>
      </c>
      <c r="U75" s="340"/>
      <c r="AC75" s="342"/>
      <c r="AD75" s="345"/>
    </row>
    <row r="76" spans="1:30" x14ac:dyDescent="0.25">
      <c r="A76">
        <v>5010102000</v>
      </c>
      <c r="B76" s="4">
        <v>-11226.689999999999</v>
      </c>
      <c r="F76" s="361">
        <v>1040401000</v>
      </c>
      <c r="G76" s="4">
        <v>-2528738.27</v>
      </c>
      <c r="I76" s="354">
        <v>1040407000</v>
      </c>
      <c r="J76" s="247">
        <v>-48185</v>
      </c>
      <c r="K76">
        <v>5020101000</v>
      </c>
      <c r="L76" s="340">
        <v>-27690</v>
      </c>
      <c r="M76" s="345"/>
      <c r="S76" s="384">
        <v>5021499000</v>
      </c>
      <c r="T76" s="340">
        <v>-33000</v>
      </c>
      <c r="U76" s="340"/>
      <c r="AC76" s="342"/>
      <c r="AD76" s="345"/>
    </row>
    <row r="77" spans="1:30" x14ac:dyDescent="0.25">
      <c r="A77">
        <v>5021203000</v>
      </c>
      <c r="B77" s="4">
        <v>-105598.36</v>
      </c>
      <c r="F77" s="361">
        <v>1040407000</v>
      </c>
      <c r="G77" s="4">
        <v>-48185</v>
      </c>
      <c r="I77" s="354">
        <v>1040499000</v>
      </c>
      <c r="J77" s="247">
        <v>-3570</v>
      </c>
      <c r="K77">
        <v>5020101000</v>
      </c>
      <c r="L77" s="340">
        <v>-26392</v>
      </c>
      <c r="M77" s="345"/>
      <c r="S77" s="384">
        <v>5021499000</v>
      </c>
      <c r="T77" s="340">
        <v>-40000</v>
      </c>
      <c r="U77" s="340"/>
      <c r="AC77" s="342"/>
      <c r="AD77" s="345"/>
    </row>
    <row r="78" spans="1:30" x14ac:dyDescent="0.25">
      <c r="A78">
        <v>5021203000</v>
      </c>
      <c r="B78" s="4">
        <v>-107777.82</v>
      </c>
      <c r="F78" s="361">
        <v>1040499000</v>
      </c>
      <c r="G78" s="4">
        <v>-3570</v>
      </c>
      <c r="I78" s="251" t="s">
        <v>278</v>
      </c>
      <c r="J78" s="248">
        <v>-2580493.27</v>
      </c>
      <c r="K78">
        <v>5020101000</v>
      </c>
      <c r="L78" s="340">
        <v>-170630</v>
      </c>
      <c r="M78" s="345"/>
      <c r="S78" s="384">
        <v>5021499000</v>
      </c>
      <c r="T78" s="340">
        <v>-100000</v>
      </c>
      <c r="U78" s="340"/>
      <c r="AC78" s="342"/>
      <c r="AD78" s="345"/>
    </row>
    <row r="79" spans="1:30" x14ac:dyDescent="0.25">
      <c r="A79">
        <v>5021203000</v>
      </c>
      <c r="B79" s="4">
        <v>-318902.94</v>
      </c>
      <c r="I79"/>
      <c r="J79" s="248">
        <f>GETPIVOTDATA("-2,580,493.27 ",$I$74)-G73</f>
        <v>0</v>
      </c>
      <c r="K79">
        <v>5020101000</v>
      </c>
      <c r="L79" s="340">
        <v>-25038</v>
      </c>
      <c r="M79" s="345"/>
      <c r="S79" s="384">
        <v>5021499000</v>
      </c>
      <c r="T79" s="340">
        <v>-242000</v>
      </c>
      <c r="U79" s="340"/>
      <c r="AC79" s="342"/>
      <c r="AD79" s="345"/>
    </row>
    <row r="80" spans="1:30" x14ac:dyDescent="0.25">
      <c r="A80">
        <v>5010102000</v>
      </c>
      <c r="B80" s="4">
        <v>-9539.3700000000008</v>
      </c>
      <c r="I80"/>
      <c r="J80"/>
      <c r="K80">
        <v>5020101000</v>
      </c>
      <c r="L80" s="340">
        <v>-17840</v>
      </c>
      <c r="M80" s="345"/>
      <c r="S80" s="384">
        <v>5021499000</v>
      </c>
      <c r="T80" s="340">
        <v>-256000</v>
      </c>
      <c r="U80" s="340"/>
      <c r="AC80" s="342"/>
      <c r="AD80" s="345"/>
    </row>
    <row r="81" spans="1:34" x14ac:dyDescent="0.25">
      <c r="A81">
        <v>5010102000</v>
      </c>
      <c r="B81" s="4">
        <v>-86.56000000000131</v>
      </c>
      <c r="F81" s="362" t="s">
        <v>345</v>
      </c>
      <c r="G81" s="243">
        <f>SUM(G82:G86)</f>
        <v>-2139728.4500000002</v>
      </c>
      <c r="H81" s="4">
        <f>G81+'[24]JEV-GJ.Control'!$E$115</f>
        <v>0</v>
      </c>
      <c r="I81"/>
      <c r="J81" s="4">
        <f>GETPIVOTDATA("-2,580,493.27 ",$I$74)-G73</f>
        <v>0</v>
      </c>
      <c r="K81">
        <v>5020101000</v>
      </c>
      <c r="L81" s="340">
        <v>-110150</v>
      </c>
      <c r="M81" s="345"/>
      <c r="S81" s="384">
        <v>5021499000</v>
      </c>
      <c r="T81" s="340">
        <v>-5000</v>
      </c>
      <c r="U81" s="340"/>
      <c r="AC81" s="342"/>
      <c r="AD81" s="345"/>
    </row>
    <row r="82" spans="1:34" x14ac:dyDescent="0.25">
      <c r="A82">
        <v>5010102000</v>
      </c>
      <c r="B82" s="4">
        <v>500</v>
      </c>
      <c r="C82" s="343"/>
      <c r="F82" s="361">
        <v>1040502000</v>
      </c>
      <c r="G82" s="4">
        <v>-169875</v>
      </c>
      <c r="I82" s="250" t="s">
        <v>277</v>
      </c>
      <c r="J82" t="s">
        <v>355</v>
      </c>
      <c r="K82">
        <v>5020101000</v>
      </c>
      <c r="L82" s="340">
        <v>-40574</v>
      </c>
      <c r="M82" s="345"/>
      <c r="S82" s="384">
        <v>5020301000</v>
      </c>
      <c r="T82" s="340">
        <v>-42276</v>
      </c>
      <c r="U82" s="340"/>
      <c r="AC82" s="342"/>
      <c r="AD82" s="345"/>
    </row>
    <row r="83" spans="1:34" x14ac:dyDescent="0.25">
      <c r="A83">
        <v>5021601000</v>
      </c>
      <c r="B83" s="4">
        <v>9774.39</v>
      </c>
      <c r="C83" s="343"/>
      <c r="F83" s="361">
        <v>1040503000</v>
      </c>
      <c r="G83" s="4">
        <f>-1038250.45+15000</f>
        <v>-1023250.45</v>
      </c>
      <c r="I83" s="354">
        <v>1040502000</v>
      </c>
      <c r="J83" s="247">
        <v>-169875</v>
      </c>
      <c r="K83">
        <v>5020101000</v>
      </c>
      <c r="L83" s="340">
        <v>-52761</v>
      </c>
      <c r="M83" s="345"/>
      <c r="S83" s="384">
        <v>5021103000</v>
      </c>
      <c r="T83" s="340">
        <v>-599888</v>
      </c>
      <c r="U83" s="340"/>
    </row>
    <row r="84" spans="1:34" x14ac:dyDescent="0.25">
      <c r="A84">
        <v>5021199000</v>
      </c>
      <c r="B84" s="4">
        <v>2121.73</v>
      </c>
      <c r="C84" s="343"/>
      <c r="F84" s="361">
        <v>1040510000</v>
      </c>
      <c r="G84" s="4">
        <v>-62406</v>
      </c>
      <c r="I84" s="354">
        <v>1040503000</v>
      </c>
      <c r="J84" s="247">
        <v>-1023250.45</v>
      </c>
      <c r="K84">
        <v>5020101000</v>
      </c>
      <c r="L84" s="340">
        <v>-21700</v>
      </c>
      <c r="M84" s="345"/>
      <c r="S84" s="384">
        <v>5021499000</v>
      </c>
      <c r="T84" s="340">
        <v>-2075700</v>
      </c>
      <c r="U84" s="340"/>
    </row>
    <row r="85" spans="1:34" x14ac:dyDescent="0.25">
      <c r="F85" s="361">
        <v>1040599000</v>
      </c>
      <c r="G85" s="4">
        <v>-51570</v>
      </c>
      <c r="I85" s="354">
        <v>1040510000</v>
      </c>
      <c r="J85" s="247">
        <v>-62406</v>
      </c>
      <c r="K85">
        <v>5020101000</v>
      </c>
      <c r="L85" s="340">
        <v>-29377</v>
      </c>
      <c r="M85" s="345"/>
      <c r="S85" s="384">
        <v>5021499000</v>
      </c>
      <c r="T85" s="340">
        <v>-3146000</v>
      </c>
      <c r="U85" s="340"/>
      <c r="AC85" s="342"/>
    </row>
    <row r="86" spans="1:34" x14ac:dyDescent="0.25">
      <c r="A86" s="236" t="s">
        <v>342</v>
      </c>
      <c r="B86" s="237">
        <f>B87+B107+B110+B113</f>
        <v>-283457299.07999992</v>
      </c>
      <c r="C86" s="4">
        <f>B86-B6</f>
        <v>0</v>
      </c>
      <c r="F86" s="361">
        <v>1040601000</v>
      </c>
      <c r="G86" s="4">
        <v>-832627</v>
      </c>
      <c r="I86" s="354">
        <v>1040599000</v>
      </c>
      <c r="J86" s="247">
        <v>-51570</v>
      </c>
      <c r="K86">
        <v>5020101000</v>
      </c>
      <c r="L86" s="340">
        <v>-7000</v>
      </c>
      <c r="M86" s="345"/>
      <c r="S86" s="384">
        <v>5021305003</v>
      </c>
      <c r="T86" s="340">
        <v>-9500</v>
      </c>
      <c r="U86" s="340"/>
    </row>
    <row r="87" spans="1:34" x14ac:dyDescent="0.25">
      <c r="A87" s="236" t="s">
        <v>343</v>
      </c>
      <c r="B87" s="237">
        <f>SUM(B88:B105)</f>
        <v>-3564509.92</v>
      </c>
      <c r="C87" s="4">
        <f>B87-GETPIVOTDATA("-3,564,509.92 ",$D$87)</f>
        <v>0</v>
      </c>
      <c r="D87" s="250" t="s">
        <v>277</v>
      </c>
      <c r="E87" t="s">
        <v>344</v>
      </c>
      <c r="F87" s="338"/>
      <c r="I87" s="354">
        <v>1040601000</v>
      </c>
      <c r="J87" s="247">
        <v>-832627</v>
      </c>
      <c r="K87">
        <v>5020101000</v>
      </c>
      <c r="L87" s="340">
        <v>-8701.2800000000007</v>
      </c>
      <c r="M87" s="345"/>
      <c r="S87" s="384">
        <v>5021499000</v>
      </c>
      <c r="T87" s="340">
        <v>0</v>
      </c>
      <c r="U87" s="340"/>
    </row>
    <row r="88" spans="1:34" x14ac:dyDescent="0.25">
      <c r="A88">
        <v>5020399000</v>
      </c>
      <c r="B88" s="4">
        <v>42982</v>
      </c>
      <c r="D88" s="354">
        <v>2020</v>
      </c>
      <c r="E88" s="247">
        <v>490000</v>
      </c>
      <c r="F88" s="363" t="s">
        <v>346</v>
      </c>
      <c r="G88" s="243">
        <f>-'[25]JEV-GJ.Control'!$D$115</f>
        <v>-80753360.080000013</v>
      </c>
      <c r="I88" s="251" t="s">
        <v>278</v>
      </c>
      <c r="J88" s="248">
        <v>-2139728.4500000002</v>
      </c>
      <c r="K88">
        <v>5020101000</v>
      </c>
      <c r="L88" s="340">
        <v>-11640</v>
      </c>
      <c r="M88" s="345"/>
      <c r="S88" s="344">
        <v>5020301000</v>
      </c>
      <c r="T88" s="340">
        <v>265000</v>
      </c>
      <c r="AC88" s="342"/>
    </row>
    <row r="89" spans="1:34" x14ac:dyDescent="0.25">
      <c r="A89">
        <v>5020305000</v>
      </c>
      <c r="B89" s="4">
        <v>14598</v>
      </c>
      <c r="D89" s="354">
        <v>1040401000</v>
      </c>
      <c r="E89" s="247">
        <v>-2184501.7999999998</v>
      </c>
      <c r="F89" s="245">
        <v>1040202000</v>
      </c>
      <c r="G89" s="244">
        <f>-'[25]JEV-GJ.Control'!$D$115</f>
        <v>-80753360.080000013</v>
      </c>
      <c r="I89"/>
      <c r="J89" s="248">
        <f>GETPIVOTDATA("-2,139,728.45 ",$I$82)-G81</f>
        <v>0</v>
      </c>
      <c r="K89">
        <v>5020101000</v>
      </c>
      <c r="L89" s="340">
        <v>-4900</v>
      </c>
      <c r="M89" s="345"/>
      <c r="S89" s="344">
        <v>5020501000</v>
      </c>
      <c r="T89" s="340">
        <v>-26990</v>
      </c>
    </row>
    <row r="90" spans="1:34" x14ac:dyDescent="0.25">
      <c r="A90">
        <v>2020</v>
      </c>
      <c r="B90" s="4">
        <v>490000</v>
      </c>
      <c r="D90" s="354">
        <v>1040405000</v>
      </c>
      <c r="E90" s="247">
        <v>-975754.83</v>
      </c>
      <c r="F90" s="338"/>
      <c r="I90"/>
      <c r="J90"/>
      <c r="K90">
        <v>5020101000</v>
      </c>
      <c r="L90" s="340">
        <v>-13900</v>
      </c>
      <c r="M90" s="345"/>
      <c r="S90" s="344">
        <v>5029904000</v>
      </c>
      <c r="T90" s="340">
        <v>-950000</v>
      </c>
      <c r="AC90" s="342"/>
    </row>
    <row r="91" spans="1:34" x14ac:dyDescent="0.25">
      <c r="A91">
        <v>1040405000</v>
      </c>
      <c r="B91" s="4">
        <v>-546845.22</v>
      </c>
      <c r="D91" s="354">
        <v>1040406000</v>
      </c>
      <c r="E91" s="247">
        <v>-244024.76</v>
      </c>
      <c r="F91" s="363" t="s">
        <v>347</v>
      </c>
      <c r="G91" s="243">
        <f>-'[26]JEV-GJ.Control'!$D$115+-'[27]JEV-GJ.Control'!$D$115</f>
        <v>-122059714.41000003</v>
      </c>
      <c r="I91"/>
      <c r="J91"/>
      <c r="K91">
        <v>5020101000</v>
      </c>
      <c r="L91" s="340">
        <v>-3600</v>
      </c>
      <c r="M91" s="345"/>
      <c r="S91" s="344">
        <v>5029902000</v>
      </c>
      <c r="T91" s="340">
        <v>-170750</v>
      </c>
      <c r="AB91" s="398"/>
      <c r="AD91" s="351"/>
    </row>
    <row r="92" spans="1:34" x14ac:dyDescent="0.25">
      <c r="A92">
        <v>1040499000</v>
      </c>
      <c r="B92" s="4">
        <v>-249993.45</v>
      </c>
      <c r="D92" s="354">
        <v>1040499000</v>
      </c>
      <c r="E92" s="247">
        <v>-707808.53</v>
      </c>
      <c r="F92" s="245">
        <v>1040299000</v>
      </c>
      <c r="G92" s="364">
        <f>-'[26]JEV-GJ.Control'!$D$115+-'[27]JEV-GJ.Control'!$D$115</f>
        <v>-122059714.41000003</v>
      </c>
      <c r="I92"/>
      <c r="J92"/>
      <c r="K92">
        <v>5021499000</v>
      </c>
      <c r="L92" s="340">
        <v>-225000</v>
      </c>
      <c r="M92" s="345"/>
      <c r="S92" s="344">
        <v>5029903000</v>
      </c>
      <c r="T92" s="340">
        <v>-105000</v>
      </c>
      <c r="AB92" s="399"/>
      <c r="AF92" s="352"/>
      <c r="AG92" s="403"/>
      <c r="AH92" s="353"/>
    </row>
    <row r="93" spans="1:34" x14ac:dyDescent="0.25">
      <c r="A93">
        <v>1040401000</v>
      </c>
      <c r="B93" s="4">
        <v>-1218777.3</v>
      </c>
      <c r="D93" s="354">
        <v>5020305000</v>
      </c>
      <c r="E93" s="247">
        <v>14598</v>
      </c>
      <c r="F93" s="338"/>
      <c r="I93"/>
      <c r="J93"/>
      <c r="K93">
        <v>5010101001</v>
      </c>
      <c r="L93" s="340">
        <v>2900</v>
      </c>
      <c r="S93" s="344">
        <v>5029903000</v>
      </c>
      <c r="T93" s="340">
        <v>-30000</v>
      </c>
      <c r="AB93" s="399"/>
      <c r="AF93" s="352"/>
      <c r="AG93" s="403"/>
    </row>
    <row r="94" spans="1:34" x14ac:dyDescent="0.25">
      <c r="A94">
        <v>1040499000</v>
      </c>
      <c r="B94" s="4">
        <v>-78525</v>
      </c>
      <c r="D94" s="354">
        <v>5020399000</v>
      </c>
      <c r="E94" s="247">
        <v>42982</v>
      </c>
      <c r="F94" s="363" t="s">
        <v>352</v>
      </c>
      <c r="G94" s="244"/>
      <c r="I94"/>
      <c r="J94"/>
      <c r="K94">
        <v>5021199000</v>
      </c>
      <c r="L94" s="340">
        <v>5522.73</v>
      </c>
      <c r="S94" s="344">
        <v>5029903000</v>
      </c>
      <c r="T94" s="340">
        <v>-140000</v>
      </c>
      <c r="AB94" s="399"/>
      <c r="AF94" s="352"/>
      <c r="AG94" s="403"/>
    </row>
    <row r="95" spans="1:34" x14ac:dyDescent="0.25">
      <c r="A95">
        <v>1040406000</v>
      </c>
      <c r="B95" s="4">
        <v>-172441.85</v>
      </c>
      <c r="D95" s="251" t="s">
        <v>278</v>
      </c>
      <c r="E95" s="248">
        <v>-3564509.92</v>
      </c>
      <c r="F95" s="363">
        <v>5021503000</v>
      </c>
      <c r="G95" s="243">
        <v>-390088.68916663527</v>
      </c>
      <c r="I95"/>
      <c r="J95"/>
      <c r="K95">
        <v>5021199000</v>
      </c>
      <c r="L95" s="340">
        <v>270</v>
      </c>
      <c r="S95" s="344">
        <v>5020301000</v>
      </c>
      <c r="T95" s="340">
        <v>-7500</v>
      </c>
      <c r="AB95" s="399"/>
      <c r="AF95" s="352"/>
      <c r="AG95" s="403"/>
    </row>
    <row r="96" spans="1:34" x14ac:dyDescent="0.25">
      <c r="A96">
        <v>1040405000</v>
      </c>
      <c r="B96" s="4">
        <v>-414311.61</v>
      </c>
      <c r="F96" s="338"/>
      <c r="I96"/>
      <c r="J96"/>
      <c r="K96"/>
      <c r="S96" s="344">
        <v>5029999099</v>
      </c>
      <c r="T96" s="340">
        <v>-7500</v>
      </c>
      <c r="AB96" s="399"/>
      <c r="AF96" s="352"/>
      <c r="AG96" s="403"/>
    </row>
    <row r="97" spans="1:33" x14ac:dyDescent="0.25">
      <c r="A97">
        <v>1040499000</v>
      </c>
      <c r="B97" s="4">
        <v>-178082.28</v>
      </c>
      <c r="F97" s="338"/>
      <c r="I97"/>
      <c r="J97"/>
      <c r="K97" s="337" t="s">
        <v>358</v>
      </c>
      <c r="L97" s="4">
        <f>-[20]TB!$R$123+[20]TB!$S$123</f>
        <v>17959.490000000002</v>
      </c>
      <c r="S97" s="344">
        <v>5020301000</v>
      </c>
      <c r="T97" s="340">
        <v>-6000</v>
      </c>
      <c r="AB97" s="399"/>
      <c r="AF97" s="352"/>
      <c r="AG97" s="403"/>
    </row>
    <row r="98" spans="1:33" x14ac:dyDescent="0.25">
      <c r="A98">
        <v>1040401000</v>
      </c>
      <c r="B98" s="4">
        <v>-451301.5</v>
      </c>
      <c r="F98" s="338"/>
      <c r="I98"/>
      <c r="J98"/>
      <c r="K98">
        <v>5029999099</v>
      </c>
      <c r="L98" s="4">
        <f>-[20]TB!$R$123+[20]TB!$S$123</f>
        <v>17959.490000000002</v>
      </c>
      <c r="S98" s="344">
        <v>5029999099</v>
      </c>
      <c r="T98" s="340">
        <v>-15600</v>
      </c>
      <c r="AB98" s="399"/>
      <c r="AF98" s="352"/>
      <c r="AG98" s="403"/>
    </row>
    <row r="99" spans="1:33" x14ac:dyDescent="0.25">
      <c r="A99">
        <v>1040499000</v>
      </c>
      <c r="B99" s="4">
        <v>-2800</v>
      </c>
      <c r="F99" s="338"/>
      <c r="I99"/>
      <c r="J99"/>
      <c r="K99"/>
      <c r="S99" s="344">
        <v>5020501000</v>
      </c>
      <c r="T99" s="340">
        <v>-1675</v>
      </c>
      <c r="AB99" s="399"/>
      <c r="AF99" s="352"/>
      <c r="AG99" s="403"/>
    </row>
    <row r="100" spans="1:33" x14ac:dyDescent="0.25">
      <c r="A100">
        <v>1040499000</v>
      </c>
      <c r="B100" s="4">
        <v>-108990.8</v>
      </c>
      <c r="D100"/>
      <c r="E100"/>
      <c r="F100" s="338"/>
      <c r="K100"/>
      <c r="N100" s="370"/>
      <c r="O100" s="370"/>
      <c r="P100" s="370"/>
      <c r="S100" s="344">
        <v>5020501000</v>
      </c>
      <c r="T100" s="340">
        <v>-11245</v>
      </c>
      <c r="AB100" s="399"/>
      <c r="AF100" s="352"/>
      <c r="AG100" s="403"/>
    </row>
    <row r="101" spans="1:33" x14ac:dyDescent="0.25">
      <c r="A101">
        <v>1040406000</v>
      </c>
      <c r="B101" s="4">
        <v>-71582.91</v>
      </c>
      <c r="D101"/>
      <c r="E101"/>
      <c r="F101" s="338"/>
      <c r="K101" s="337" t="s">
        <v>254</v>
      </c>
      <c r="L101" s="243">
        <f>L7</f>
        <v>117095014.47</v>
      </c>
      <c r="M101" s="250" t="s">
        <v>277</v>
      </c>
      <c r="N101" t="s">
        <v>361</v>
      </c>
      <c r="O101"/>
      <c r="P101" s="370"/>
      <c r="AB101" s="399"/>
      <c r="AF101" s="352"/>
    </row>
    <row r="102" spans="1:33" x14ac:dyDescent="0.25">
      <c r="A102">
        <v>1040401000</v>
      </c>
      <c r="B102" s="4">
        <v>-514423</v>
      </c>
      <c r="D102"/>
      <c r="E102"/>
      <c r="F102" s="338"/>
      <c r="K102" s="343">
        <v>5010101001</v>
      </c>
      <c r="L102" s="340">
        <v>48807</v>
      </c>
      <c r="M102" s="368">
        <v>5010101001</v>
      </c>
      <c r="N102" s="369">
        <v>48807</v>
      </c>
      <c r="O102"/>
      <c r="P102" s="370"/>
      <c r="AB102" s="399"/>
    </row>
    <row r="103" spans="1:33" x14ac:dyDescent="0.25">
      <c r="A103">
        <v>1040499000</v>
      </c>
      <c r="B103" s="4">
        <v>-46435</v>
      </c>
      <c r="D103"/>
      <c r="E103"/>
      <c r="F103" s="338"/>
      <c r="K103" s="343">
        <v>5020307000</v>
      </c>
      <c r="L103" s="340">
        <v>191829.36000000002</v>
      </c>
      <c r="M103" s="368">
        <v>5020305000</v>
      </c>
      <c r="N103" s="369">
        <v>1683619.3299999998</v>
      </c>
      <c r="O103"/>
      <c r="P103" s="370"/>
      <c r="S103" s="388" t="s">
        <v>377</v>
      </c>
      <c r="T103" s="387"/>
      <c r="V103" s="340">
        <f>V7</f>
        <v>-118030857.59</v>
      </c>
      <c r="AB103" s="399"/>
    </row>
    <row r="104" spans="1:33" x14ac:dyDescent="0.25">
      <c r="A104">
        <v>1040499000</v>
      </c>
      <c r="B104" s="4">
        <v>-42982</v>
      </c>
      <c r="D104"/>
      <c r="E104"/>
      <c r="F104" s="338"/>
      <c r="K104" s="343">
        <v>5020305000</v>
      </c>
      <c r="L104" s="340">
        <v>1683619.3299999998</v>
      </c>
      <c r="M104" s="368">
        <v>5020307000</v>
      </c>
      <c r="N104" s="369">
        <v>191829.36000000002</v>
      </c>
      <c r="O104"/>
      <c r="P104" s="370"/>
      <c r="S104" s="388">
        <v>1040299000</v>
      </c>
      <c r="T104" s="387">
        <v>-9931055.1600000001</v>
      </c>
      <c r="V104" s="345">
        <f>SUM(T107:T118)</f>
        <v>-118030857.59</v>
      </c>
      <c r="AB104" s="399"/>
    </row>
    <row r="105" spans="1:33" x14ac:dyDescent="0.25">
      <c r="A105">
        <v>1040405000</v>
      </c>
      <c r="B105" s="4">
        <v>-14598</v>
      </c>
      <c r="D105"/>
      <c r="E105"/>
      <c r="F105" s="338"/>
      <c r="K105" s="343">
        <v>5020308000</v>
      </c>
      <c r="L105" s="340">
        <v>433124.75</v>
      </c>
      <c r="M105" s="368">
        <v>5020308000</v>
      </c>
      <c r="N105" s="369">
        <v>433124.75</v>
      </c>
      <c r="O105"/>
      <c r="P105" s="370"/>
      <c r="S105" s="388">
        <v>1040299000</v>
      </c>
      <c r="T105" s="387">
        <v>-37849020.630000003</v>
      </c>
      <c r="V105" s="345">
        <f>V103-V104</f>
        <v>0</v>
      </c>
      <c r="AB105" s="399"/>
    </row>
    <row r="106" spans="1:33" x14ac:dyDescent="0.25">
      <c r="D106"/>
      <c r="E106"/>
      <c r="F106" s="338"/>
      <c r="K106" s="343">
        <v>5020399000</v>
      </c>
      <c r="L106" s="340">
        <v>539288.77</v>
      </c>
      <c r="M106" s="368">
        <v>5020321002</v>
      </c>
      <c r="N106" s="369">
        <v>21980</v>
      </c>
      <c r="O106"/>
      <c r="P106" s="370"/>
      <c r="S106" s="388">
        <v>1040299000</v>
      </c>
      <c r="T106" s="387">
        <v>-68818756.989999995</v>
      </c>
      <c r="AB106" s="399"/>
    </row>
    <row r="107" spans="1:33" x14ac:dyDescent="0.25">
      <c r="A107" s="236" t="s">
        <v>345</v>
      </c>
      <c r="B107" s="243">
        <v>-47738</v>
      </c>
      <c r="D107"/>
      <c r="E107"/>
      <c r="F107" s="338"/>
      <c r="K107" s="343">
        <v>5020399000</v>
      </c>
      <c r="L107" s="340">
        <v>6919225.2799999993</v>
      </c>
      <c r="M107" s="368">
        <v>5020321003</v>
      </c>
      <c r="N107" s="369">
        <v>73600</v>
      </c>
      <c r="O107"/>
      <c r="P107" s="370"/>
      <c r="S107" s="388" t="s">
        <v>378</v>
      </c>
      <c r="T107" s="389">
        <f>SUM(T104:T106)</f>
        <v>-116598832.78</v>
      </c>
      <c r="AB107" s="399"/>
    </row>
    <row r="108" spans="1:33" x14ac:dyDescent="0.25">
      <c r="A108">
        <v>1040503000</v>
      </c>
      <c r="B108" s="4">
        <v>-47738</v>
      </c>
      <c r="D108"/>
      <c r="E108"/>
      <c r="F108" s="338"/>
      <c r="K108" s="343">
        <v>5020399000</v>
      </c>
      <c r="L108" s="340">
        <v>748858</v>
      </c>
      <c r="M108" s="368">
        <v>5020321099</v>
      </c>
      <c r="N108" s="369">
        <v>292355</v>
      </c>
      <c r="O108"/>
      <c r="P108" s="370"/>
      <c r="S108" s="388" t="s">
        <v>379</v>
      </c>
      <c r="T108" s="387"/>
      <c r="AB108" s="399"/>
    </row>
    <row r="109" spans="1:33" x14ac:dyDescent="0.25">
      <c r="K109" s="343">
        <v>5020322001</v>
      </c>
      <c r="L109" s="340">
        <v>13200</v>
      </c>
      <c r="M109" s="368">
        <v>5020322001</v>
      </c>
      <c r="N109" s="369">
        <v>13200</v>
      </c>
      <c r="O109"/>
      <c r="P109" s="370"/>
      <c r="S109" s="388">
        <v>1040401000</v>
      </c>
      <c r="T109" s="387">
        <v>-1085020.68</v>
      </c>
      <c r="AB109" s="399"/>
    </row>
    <row r="110" spans="1:33" x14ac:dyDescent="0.25">
      <c r="A110" s="236" t="s">
        <v>346</v>
      </c>
      <c r="B110" s="243">
        <v>-125823255.89</v>
      </c>
      <c r="K110" s="343">
        <v>5020321003</v>
      </c>
      <c r="L110" s="340">
        <v>73600</v>
      </c>
      <c r="M110" s="368">
        <v>5020399000</v>
      </c>
      <c r="N110" s="369">
        <v>8207372.0499999989</v>
      </c>
      <c r="O110"/>
      <c r="P110" s="370"/>
      <c r="S110" s="388">
        <v>1040499000</v>
      </c>
      <c r="T110" s="387">
        <v>-433909.45</v>
      </c>
      <c r="U110" s="345"/>
      <c r="AB110" s="399"/>
    </row>
    <row r="111" spans="1:33" x14ac:dyDescent="0.25">
      <c r="A111">
        <v>1040202000</v>
      </c>
      <c r="B111" s="4">
        <v>-125823255.89</v>
      </c>
      <c r="K111" s="343">
        <v>5020321002</v>
      </c>
      <c r="L111" s="340">
        <v>21980</v>
      </c>
      <c r="M111" s="251" t="s">
        <v>278</v>
      </c>
      <c r="N111" s="248">
        <v>10965887.489999998</v>
      </c>
      <c r="O111"/>
      <c r="P111" s="370"/>
      <c r="AB111" s="399"/>
    </row>
    <row r="112" spans="1:33" x14ac:dyDescent="0.25">
      <c r="K112" s="343">
        <v>5020321099</v>
      </c>
      <c r="L112" s="340">
        <v>292355</v>
      </c>
      <c r="M112"/>
      <c r="N112" s="248">
        <f>L101-GETPIVOTDATA(" 10,965,887.49 ",$M$101)</f>
        <v>106129126.98</v>
      </c>
      <c r="O112"/>
      <c r="P112" s="370"/>
      <c r="S112" s="394" t="s">
        <v>380</v>
      </c>
      <c r="T112" s="385"/>
      <c r="AB112" s="399"/>
    </row>
    <row r="113" spans="1:30" x14ac:dyDescent="0.25">
      <c r="A113" s="236" t="s">
        <v>347</v>
      </c>
      <c r="B113" s="243">
        <v>-154021795.26999989</v>
      </c>
      <c r="M113"/>
      <c r="N113"/>
      <c r="O113"/>
      <c r="P113" s="370"/>
      <c r="S113" s="394">
        <v>5021499000</v>
      </c>
      <c r="T113" s="385">
        <v>-165000</v>
      </c>
      <c r="AB113" s="399"/>
    </row>
    <row r="114" spans="1:30" x14ac:dyDescent="0.25">
      <c r="A114">
        <v>1040299000</v>
      </c>
      <c r="B114" s="4">
        <v>-154021795.26999989</v>
      </c>
      <c r="M114"/>
      <c r="N114"/>
      <c r="O114"/>
      <c r="P114" s="370"/>
      <c r="S114" s="388" t="s">
        <v>381</v>
      </c>
      <c r="T114" s="387"/>
    </row>
    <row r="115" spans="1:30" x14ac:dyDescent="0.25">
      <c r="K115" s="374" t="s">
        <v>367</v>
      </c>
      <c r="L115" s="375">
        <v>-3886438.2</v>
      </c>
      <c r="M115"/>
      <c r="N115"/>
      <c r="O115"/>
      <c r="P115" s="370"/>
      <c r="S115" s="388">
        <v>5020201002</v>
      </c>
      <c r="T115" s="387">
        <v>195600.54</v>
      </c>
      <c r="AD115" s="340"/>
    </row>
    <row r="116" spans="1:30" x14ac:dyDescent="0.25">
      <c r="K116" s="343">
        <v>5020201002</v>
      </c>
      <c r="L116" s="375">
        <v>-3886438.2</v>
      </c>
      <c r="M116"/>
      <c r="N116"/>
      <c r="O116"/>
      <c r="P116" s="370"/>
      <c r="AB116" s="399"/>
    </row>
    <row r="117" spans="1:30" x14ac:dyDescent="0.25">
      <c r="M117"/>
      <c r="N117"/>
      <c r="O117"/>
      <c r="P117" s="370"/>
      <c r="S117" s="388" t="s">
        <v>382</v>
      </c>
      <c r="T117" s="387"/>
    </row>
    <row r="118" spans="1:30" x14ac:dyDescent="0.25">
      <c r="M118"/>
      <c r="N118"/>
      <c r="O118"/>
      <c r="P118" s="370"/>
      <c r="S118" s="388">
        <v>5021199000</v>
      </c>
      <c r="T118" s="387">
        <v>56304.78</v>
      </c>
    </row>
    <row r="119" spans="1:30" x14ac:dyDescent="0.25">
      <c r="K119" s="343" t="s">
        <v>368</v>
      </c>
      <c r="N119" s="370"/>
      <c r="O119" s="370"/>
      <c r="P119" s="370"/>
    </row>
    <row r="120" spans="1:30" x14ac:dyDescent="0.25">
      <c r="K120" s="343">
        <v>5050104099</v>
      </c>
      <c r="L120" s="340">
        <v>-234887.5</v>
      </c>
      <c r="S120" s="344" t="s">
        <v>386</v>
      </c>
    </row>
    <row r="121" spans="1:30" x14ac:dyDescent="0.25">
      <c r="S121" s="388">
        <v>1040202000</v>
      </c>
      <c r="T121" s="387">
        <v>-31766950.559999999</v>
      </c>
    </row>
    <row r="123" spans="1:30" x14ac:dyDescent="0.25">
      <c r="K123" s="337" t="s">
        <v>252</v>
      </c>
      <c r="L123" s="243">
        <v>-8817353.0999999996</v>
      </c>
      <c r="S123" s="394" t="s">
        <v>388</v>
      </c>
      <c r="T123" s="385">
        <f>SUM(T124:T133)</f>
        <v>-6395389.3539999994</v>
      </c>
      <c r="U123" s="345">
        <f>T123+'FC1 2024'!G124</f>
        <v>-6395389.3571666749</v>
      </c>
      <c r="V123" s="250" t="s">
        <v>277</v>
      </c>
      <c r="W123" t="s">
        <v>393</v>
      </c>
      <c r="X123"/>
    </row>
    <row r="124" spans="1:30" x14ac:dyDescent="0.25">
      <c r="K124" s="343">
        <v>5010102000</v>
      </c>
      <c r="L124" s="340">
        <v>-1371.77</v>
      </c>
      <c r="M124" s="250" t="s">
        <v>277</v>
      </c>
      <c r="N124" t="s">
        <v>372</v>
      </c>
      <c r="O124"/>
      <c r="P124"/>
      <c r="Q124"/>
      <c r="R124"/>
      <c r="S124" s="396">
        <v>1069803000</v>
      </c>
      <c r="T124" s="397">
        <v>-2006961.78</v>
      </c>
      <c r="U124" t="s">
        <v>389</v>
      </c>
      <c r="V124" s="392">
        <v>1040501000</v>
      </c>
      <c r="W124" s="393">
        <v>-59670</v>
      </c>
      <c r="X124"/>
    </row>
    <row r="125" spans="1:30" x14ac:dyDescent="0.25">
      <c r="K125" s="343">
        <v>5020101000</v>
      </c>
      <c r="L125" s="340">
        <v>-4000</v>
      </c>
      <c r="M125" s="368">
        <v>5010102000</v>
      </c>
      <c r="N125" s="369">
        <v>-1371.77</v>
      </c>
      <c r="O125"/>
      <c r="P125"/>
      <c r="Q125"/>
      <c r="R125"/>
      <c r="S125" s="396">
        <v>1060401100</v>
      </c>
      <c r="T125" s="397">
        <v>-502847.38400000002</v>
      </c>
      <c r="U125" t="s">
        <v>389</v>
      </c>
      <c r="V125" s="392">
        <v>1040502000</v>
      </c>
      <c r="W125" s="393">
        <v>-155946</v>
      </c>
      <c r="X125"/>
    </row>
    <row r="126" spans="1:30" x14ac:dyDescent="0.25">
      <c r="K126" s="343">
        <v>5020309000</v>
      </c>
      <c r="L126" s="340">
        <v>-2906.83</v>
      </c>
      <c r="M126" s="368">
        <v>5020101000</v>
      </c>
      <c r="N126" s="369">
        <v>-2160501</v>
      </c>
      <c r="O126"/>
      <c r="P126"/>
      <c r="Q126"/>
      <c r="R126"/>
      <c r="S126" s="396">
        <v>1069803000</v>
      </c>
      <c r="T126" s="397">
        <v>-3306911.22</v>
      </c>
      <c r="U126" t="s">
        <v>390</v>
      </c>
      <c r="V126" s="392">
        <v>1040503000</v>
      </c>
      <c r="W126" s="393">
        <v>-128315.97</v>
      </c>
      <c r="X126"/>
      <c r="AB126" s="399"/>
    </row>
    <row r="127" spans="1:30" x14ac:dyDescent="0.25">
      <c r="K127" s="343">
        <v>5020101000</v>
      </c>
      <c r="L127" s="340">
        <v>-38608</v>
      </c>
      <c r="M127" s="368">
        <v>5020201000</v>
      </c>
      <c r="N127" s="369">
        <v>-6342692.5</v>
      </c>
      <c r="O127"/>
      <c r="S127" s="394">
        <v>1040502000</v>
      </c>
      <c r="T127" s="385">
        <v>-155946</v>
      </c>
      <c r="V127" s="392">
        <v>1040510000</v>
      </c>
      <c r="W127" s="393">
        <v>-22557</v>
      </c>
      <c r="X127"/>
    </row>
    <row r="128" spans="1:30" x14ac:dyDescent="0.25">
      <c r="K128" s="343">
        <v>5020101000</v>
      </c>
      <c r="L128" s="340">
        <v>-38608</v>
      </c>
      <c r="M128" s="368">
        <v>5020309000</v>
      </c>
      <c r="N128" s="369">
        <v>-2906.83</v>
      </c>
      <c r="O128"/>
      <c r="R128" s="343">
        <v>5020322001</v>
      </c>
      <c r="S128" s="394">
        <v>1040601000</v>
      </c>
      <c r="T128" s="385">
        <v>-102567</v>
      </c>
      <c r="V128" s="392">
        <v>1040512000</v>
      </c>
      <c r="W128" s="393">
        <v>-53313</v>
      </c>
      <c r="X128"/>
    </row>
    <row r="129" spans="11:29" x14ac:dyDescent="0.25">
      <c r="K129" s="343">
        <v>5020101000</v>
      </c>
      <c r="L129" s="340">
        <v>-24130</v>
      </c>
      <c r="M129" s="368">
        <v>5020401000</v>
      </c>
      <c r="N129" s="369">
        <v>-15000</v>
      </c>
      <c r="O129"/>
      <c r="S129" s="394">
        <v>1040503000</v>
      </c>
      <c r="T129" s="385">
        <v>-128315.97</v>
      </c>
      <c r="V129" s="392">
        <v>1040599000</v>
      </c>
      <c r="W129" s="393">
        <v>-56300</v>
      </c>
      <c r="X129"/>
      <c r="AC129" s="342"/>
    </row>
    <row r="130" spans="11:29" x14ac:dyDescent="0.25">
      <c r="K130" s="343">
        <v>5020101000</v>
      </c>
      <c r="L130" s="340">
        <v>-13609</v>
      </c>
      <c r="M130" s="368">
        <v>5020501000</v>
      </c>
      <c r="N130" s="369">
        <v>-21485</v>
      </c>
      <c r="O130"/>
      <c r="S130" s="394">
        <v>1040510000</v>
      </c>
      <c r="T130" s="385">
        <v>-22557</v>
      </c>
      <c r="V130" s="392">
        <v>1040601000</v>
      </c>
      <c r="W130" s="393">
        <v>-102567</v>
      </c>
      <c r="X130"/>
    </row>
    <row r="131" spans="11:29" x14ac:dyDescent="0.25">
      <c r="K131" s="343">
        <v>5020101000</v>
      </c>
      <c r="L131" s="340">
        <v>-10330</v>
      </c>
      <c r="M131" s="368">
        <v>5021305002</v>
      </c>
      <c r="N131" s="369">
        <v>-90396</v>
      </c>
      <c r="O131"/>
      <c r="S131" s="394">
        <v>1040501000</v>
      </c>
      <c r="T131" s="385">
        <v>-59670</v>
      </c>
      <c r="V131" s="390">
        <v>1060401100</v>
      </c>
      <c r="W131" s="391">
        <v>-502847.38400000002</v>
      </c>
      <c r="X131"/>
    </row>
    <row r="132" spans="11:29" x14ac:dyDescent="0.25">
      <c r="K132" s="343">
        <v>5020101000</v>
      </c>
      <c r="L132" s="340">
        <v>-8863</v>
      </c>
      <c r="M132" s="368">
        <v>5029903000</v>
      </c>
      <c r="N132" s="369">
        <v>-51000</v>
      </c>
      <c r="O132"/>
      <c r="S132" s="394">
        <v>1040512000</v>
      </c>
      <c r="T132" s="385">
        <v>-53313</v>
      </c>
      <c r="V132" s="390">
        <v>1069803000</v>
      </c>
      <c r="W132" s="391">
        <v>-5313873</v>
      </c>
      <c r="X132"/>
    </row>
    <row r="133" spans="11:29" x14ac:dyDescent="0.25">
      <c r="K133" s="343">
        <v>5020101000</v>
      </c>
      <c r="L133" s="340">
        <v>-14105</v>
      </c>
      <c r="M133" s="368">
        <v>5029999099</v>
      </c>
      <c r="N133" s="369">
        <v>-132000</v>
      </c>
      <c r="O133"/>
      <c r="S133" s="394">
        <v>1040599000</v>
      </c>
      <c r="T133" s="385">
        <v>-56300</v>
      </c>
      <c r="V133" s="251" t="s">
        <v>278</v>
      </c>
      <c r="W133" s="248">
        <v>-6395389.3540000003</v>
      </c>
      <c r="X133"/>
    </row>
    <row r="134" spans="11:29" x14ac:dyDescent="0.25">
      <c r="K134" s="343">
        <v>5020101000</v>
      </c>
      <c r="L134" s="340">
        <v>-41021</v>
      </c>
      <c r="M134" s="251" t="s">
        <v>278</v>
      </c>
      <c r="N134" s="248">
        <v>-8817353.0999999996</v>
      </c>
      <c r="O134"/>
      <c r="S134" s="394"/>
      <c r="T134" s="385"/>
      <c r="V134"/>
      <c r="W134"/>
      <c r="X134"/>
    </row>
    <row r="135" spans="11:29" x14ac:dyDescent="0.25">
      <c r="K135" s="343">
        <v>5020101000</v>
      </c>
      <c r="L135" s="340">
        <v>-59326</v>
      </c>
      <c r="M135"/>
      <c r="N135" s="248">
        <f>GETPIVOTDATA("-8,817,353.10 ",$M$124)-L123</f>
        <v>0</v>
      </c>
      <c r="O135"/>
      <c r="S135" s="394" t="s">
        <v>391</v>
      </c>
      <c r="T135" s="385"/>
      <c r="V135"/>
      <c r="W135"/>
      <c r="X135"/>
    </row>
    <row r="136" spans="11:29" x14ac:dyDescent="0.25">
      <c r="K136" s="343">
        <v>5020101000</v>
      </c>
      <c r="L136" s="340">
        <v>-11329</v>
      </c>
      <c r="M136"/>
      <c r="N136"/>
      <c r="O136"/>
      <c r="S136" s="394">
        <v>2020101000</v>
      </c>
      <c r="T136" s="385">
        <v>34000</v>
      </c>
      <c r="U136" s="395" t="s">
        <v>392</v>
      </c>
      <c r="V136"/>
      <c r="W136"/>
      <c r="X136"/>
    </row>
    <row r="137" spans="11:29" x14ac:dyDescent="0.25">
      <c r="K137" s="343">
        <v>5020101000</v>
      </c>
      <c r="L137" s="340">
        <v>-36002</v>
      </c>
      <c r="M137"/>
      <c r="N137"/>
      <c r="O137"/>
      <c r="V137"/>
      <c r="W137"/>
      <c r="X137"/>
    </row>
    <row r="138" spans="11:29" x14ac:dyDescent="0.25">
      <c r="K138" s="343">
        <v>5020101000</v>
      </c>
      <c r="L138" s="340">
        <v>-27304</v>
      </c>
      <c r="M138"/>
      <c r="N138"/>
      <c r="O138"/>
      <c r="V138"/>
      <c r="W138"/>
      <c r="X138"/>
    </row>
    <row r="139" spans="11:29" x14ac:dyDescent="0.25">
      <c r="K139" s="343">
        <v>5020101000</v>
      </c>
      <c r="L139" s="340">
        <v>-37406</v>
      </c>
      <c r="M139"/>
      <c r="N139"/>
      <c r="O139"/>
      <c r="V139"/>
      <c r="W139"/>
      <c r="X139"/>
    </row>
    <row r="140" spans="11:29" x14ac:dyDescent="0.25">
      <c r="K140" s="343">
        <v>5020101000</v>
      </c>
      <c r="L140" s="340">
        <v>-11489</v>
      </c>
      <c r="M140"/>
      <c r="N140"/>
      <c r="O140"/>
      <c r="V140"/>
      <c r="W140"/>
      <c r="X140"/>
    </row>
    <row r="141" spans="11:29" x14ac:dyDescent="0.25">
      <c r="K141" s="343">
        <v>5020101000</v>
      </c>
      <c r="L141" s="340">
        <v>-20629</v>
      </c>
      <c r="M141"/>
      <c r="N141"/>
      <c r="O141"/>
    </row>
    <row r="142" spans="11:29" x14ac:dyDescent="0.25">
      <c r="K142" s="343">
        <v>5020101000</v>
      </c>
      <c r="L142" s="340">
        <v>-44069</v>
      </c>
      <c r="M142" s="345"/>
    </row>
    <row r="143" spans="11:29" x14ac:dyDescent="0.25">
      <c r="K143" s="343">
        <v>5020101000</v>
      </c>
      <c r="L143" s="340">
        <v>-14700</v>
      </c>
      <c r="M143" s="345"/>
    </row>
    <row r="144" spans="11:29" x14ac:dyDescent="0.25">
      <c r="K144" s="343">
        <v>5020101000</v>
      </c>
      <c r="L144" s="340">
        <v>-1960</v>
      </c>
      <c r="M144" s="345"/>
    </row>
    <row r="145" spans="11:13" x14ac:dyDescent="0.25">
      <c r="K145" s="343">
        <v>5020101000</v>
      </c>
      <c r="L145" s="340">
        <v>-45092</v>
      </c>
      <c r="M145" s="345"/>
    </row>
    <row r="146" spans="11:13" x14ac:dyDescent="0.25">
      <c r="K146" s="343">
        <v>5020101000</v>
      </c>
      <c r="L146" s="340">
        <v>-16665</v>
      </c>
      <c r="M146" s="345"/>
    </row>
    <row r="147" spans="11:13" x14ac:dyDescent="0.25">
      <c r="K147" s="343">
        <v>5020101000</v>
      </c>
      <c r="L147" s="340">
        <v>-28191</v>
      </c>
      <c r="M147" s="345"/>
    </row>
    <row r="148" spans="11:13" x14ac:dyDescent="0.25">
      <c r="K148" s="343">
        <v>5020101000</v>
      </c>
      <c r="L148" s="340">
        <v>-23644</v>
      </c>
      <c r="M148" s="345"/>
    </row>
    <row r="149" spans="11:13" x14ac:dyDescent="0.25">
      <c r="K149" s="343">
        <v>5020101000</v>
      </c>
      <c r="L149" s="340">
        <v>-25749</v>
      </c>
      <c r="M149" s="345"/>
    </row>
    <row r="150" spans="11:13" x14ac:dyDescent="0.25">
      <c r="K150" s="343">
        <v>5020101000</v>
      </c>
      <c r="L150" s="340">
        <v>-19304</v>
      </c>
      <c r="M150" s="345"/>
    </row>
    <row r="151" spans="11:13" x14ac:dyDescent="0.25">
      <c r="K151" s="343">
        <v>5020101000</v>
      </c>
      <c r="L151" s="340">
        <v>-24130</v>
      </c>
      <c r="M151" s="345"/>
    </row>
    <row r="152" spans="11:13" x14ac:dyDescent="0.25">
      <c r="K152" s="343">
        <v>5020101000</v>
      </c>
      <c r="L152" s="340">
        <v>-68241</v>
      </c>
      <c r="M152" s="345"/>
    </row>
    <row r="153" spans="11:13" x14ac:dyDescent="0.25">
      <c r="K153" s="343">
        <v>5020101000</v>
      </c>
      <c r="L153" s="340">
        <v>-1224</v>
      </c>
      <c r="M153" s="345"/>
    </row>
    <row r="154" spans="11:13" x14ac:dyDescent="0.25">
      <c r="K154" s="343">
        <v>5020101000</v>
      </c>
      <c r="L154" s="340">
        <v>-4400</v>
      </c>
      <c r="M154" s="345"/>
    </row>
    <row r="155" spans="11:13" x14ac:dyDescent="0.25">
      <c r="K155" s="343">
        <v>5020101000</v>
      </c>
      <c r="L155" s="340">
        <v>-21501</v>
      </c>
      <c r="M155" s="345"/>
    </row>
    <row r="156" spans="11:13" x14ac:dyDescent="0.25">
      <c r="K156" s="343">
        <v>5020101000</v>
      </c>
      <c r="L156" s="340">
        <v>-24117</v>
      </c>
      <c r="M156" s="345"/>
    </row>
    <row r="157" spans="11:13" x14ac:dyDescent="0.25">
      <c r="K157" s="343">
        <v>5020101000</v>
      </c>
      <c r="L157" s="340">
        <v>-9652</v>
      </c>
      <c r="M157" s="345"/>
    </row>
    <row r="158" spans="11:13" x14ac:dyDescent="0.25">
      <c r="K158" s="343">
        <v>5020101000</v>
      </c>
      <c r="L158" s="340">
        <v>-15976</v>
      </c>
      <c r="M158" s="345"/>
    </row>
    <row r="159" spans="11:13" x14ac:dyDescent="0.25">
      <c r="K159" s="343">
        <v>5020101000</v>
      </c>
      <c r="L159" s="340">
        <v>-17731</v>
      </c>
      <c r="M159" s="345"/>
    </row>
    <row r="160" spans="11:13" x14ac:dyDescent="0.25">
      <c r="K160" s="343">
        <v>5020101000</v>
      </c>
      <c r="L160" s="340">
        <v>-7239</v>
      </c>
      <c r="M160" s="345"/>
    </row>
    <row r="161" spans="11:13" x14ac:dyDescent="0.25">
      <c r="K161" s="343">
        <v>5020101000</v>
      </c>
      <c r="L161" s="340">
        <v>-10075</v>
      </c>
      <c r="M161" s="345"/>
    </row>
    <row r="162" spans="11:13" x14ac:dyDescent="0.25">
      <c r="K162" s="343">
        <v>5020101000</v>
      </c>
      <c r="L162" s="340">
        <v>-17509</v>
      </c>
      <c r="M162" s="345"/>
    </row>
    <row r="163" spans="11:13" x14ac:dyDescent="0.25">
      <c r="K163" s="343">
        <v>5020101000</v>
      </c>
      <c r="L163" s="340">
        <v>-24644</v>
      </c>
      <c r="M163" s="345"/>
    </row>
    <row r="164" spans="11:13" x14ac:dyDescent="0.25">
      <c r="K164" s="343">
        <v>5020101000</v>
      </c>
      <c r="L164" s="340">
        <v>-1480</v>
      </c>
      <c r="M164" s="345"/>
    </row>
    <row r="165" spans="11:13" x14ac:dyDescent="0.25">
      <c r="K165" s="343">
        <v>5020101000</v>
      </c>
      <c r="L165" s="340">
        <v>-24017</v>
      </c>
      <c r="M165" s="345"/>
    </row>
    <row r="166" spans="11:13" x14ac:dyDescent="0.25">
      <c r="K166" s="343">
        <v>5020101000</v>
      </c>
      <c r="L166" s="340">
        <v>-23784</v>
      </c>
      <c r="M166" s="345"/>
    </row>
    <row r="167" spans="11:13" x14ac:dyDescent="0.25">
      <c r="K167" s="343">
        <v>5020101000</v>
      </c>
      <c r="L167" s="340">
        <v>-24217</v>
      </c>
      <c r="M167" s="345"/>
    </row>
    <row r="168" spans="11:13" x14ac:dyDescent="0.25">
      <c r="K168" s="343">
        <v>5020101000</v>
      </c>
      <c r="L168" s="340">
        <v>-24130</v>
      </c>
      <c r="M168" s="345"/>
    </row>
    <row r="169" spans="11:13" x14ac:dyDescent="0.25">
      <c r="K169" s="343">
        <v>5020101000</v>
      </c>
      <c r="L169" s="340">
        <v>-26543</v>
      </c>
      <c r="M169" s="345"/>
    </row>
    <row r="170" spans="11:13" x14ac:dyDescent="0.25">
      <c r="K170" s="343">
        <v>5020101000</v>
      </c>
      <c r="L170" s="340">
        <v>-15570</v>
      </c>
      <c r="M170" s="345"/>
    </row>
    <row r="171" spans="11:13" x14ac:dyDescent="0.25">
      <c r="K171" s="343">
        <v>5020101000</v>
      </c>
      <c r="L171" s="340">
        <v>-28123</v>
      </c>
      <c r="M171" s="345"/>
    </row>
    <row r="172" spans="11:13" x14ac:dyDescent="0.25">
      <c r="K172" s="343">
        <v>5020101000</v>
      </c>
      <c r="L172" s="340">
        <v>-31369</v>
      </c>
      <c r="M172" s="345"/>
    </row>
    <row r="173" spans="11:13" x14ac:dyDescent="0.25">
      <c r="K173" s="343">
        <v>5020101000</v>
      </c>
      <c r="L173" s="340">
        <v>-11852</v>
      </c>
      <c r="M173" s="345"/>
    </row>
    <row r="174" spans="11:13" x14ac:dyDescent="0.25">
      <c r="K174" s="343">
        <v>5020101000</v>
      </c>
      <c r="L174" s="340">
        <v>-4785</v>
      </c>
      <c r="M174" s="345"/>
    </row>
    <row r="175" spans="11:13" x14ac:dyDescent="0.25">
      <c r="K175" s="343">
        <v>5020101000</v>
      </c>
      <c r="L175" s="340">
        <v>-10363</v>
      </c>
      <c r="M175" s="345"/>
    </row>
    <row r="176" spans="11:13" x14ac:dyDescent="0.25">
      <c r="K176" s="343">
        <v>5020101000</v>
      </c>
      <c r="L176" s="340">
        <v>-17578</v>
      </c>
      <c r="M176" s="345"/>
    </row>
    <row r="177" spans="11:13" x14ac:dyDescent="0.25">
      <c r="K177" s="343">
        <v>5020101000</v>
      </c>
      <c r="L177" s="340">
        <v>-22078</v>
      </c>
      <c r="M177" s="345"/>
    </row>
    <row r="178" spans="11:13" x14ac:dyDescent="0.25">
      <c r="K178" s="343">
        <v>5020101000</v>
      </c>
      <c r="L178" s="340">
        <v>-23191</v>
      </c>
      <c r="M178" s="345"/>
    </row>
    <row r="179" spans="11:13" x14ac:dyDescent="0.25">
      <c r="K179" s="343">
        <v>5020101000</v>
      </c>
      <c r="L179" s="340">
        <v>-23097</v>
      </c>
      <c r="M179" s="345"/>
    </row>
    <row r="180" spans="11:13" x14ac:dyDescent="0.25">
      <c r="K180" s="343">
        <v>5020101000</v>
      </c>
      <c r="L180" s="340">
        <v>-23171</v>
      </c>
      <c r="M180" s="345"/>
    </row>
    <row r="181" spans="11:13" x14ac:dyDescent="0.25">
      <c r="K181" s="343">
        <v>5020101000</v>
      </c>
      <c r="L181" s="340">
        <v>-21531</v>
      </c>
      <c r="M181" s="345"/>
    </row>
    <row r="182" spans="11:13" x14ac:dyDescent="0.25">
      <c r="K182" s="343">
        <v>5020101000</v>
      </c>
      <c r="L182" s="340">
        <v>-24125</v>
      </c>
      <c r="M182" s="345"/>
    </row>
    <row r="183" spans="11:13" x14ac:dyDescent="0.25">
      <c r="K183" s="343">
        <v>5020401000</v>
      </c>
      <c r="L183" s="340">
        <v>-15000</v>
      </c>
      <c r="M183" s="345"/>
    </row>
    <row r="184" spans="11:13" x14ac:dyDescent="0.25">
      <c r="K184" s="343">
        <v>5020201000</v>
      </c>
      <c r="L184" s="340">
        <v>-6336000</v>
      </c>
      <c r="M184" s="345"/>
    </row>
    <row r="185" spans="11:13" x14ac:dyDescent="0.25">
      <c r="K185" s="343">
        <v>5020101000</v>
      </c>
      <c r="L185" s="340">
        <v>-6200</v>
      </c>
      <c r="M185" s="345"/>
    </row>
    <row r="186" spans="11:13" x14ac:dyDescent="0.25">
      <c r="K186" s="343">
        <v>5020101000</v>
      </c>
      <c r="L186" s="340">
        <v>-724</v>
      </c>
      <c r="M186" s="345"/>
    </row>
    <row r="187" spans="11:13" x14ac:dyDescent="0.25">
      <c r="K187" s="343">
        <v>5020101000</v>
      </c>
      <c r="L187" s="340">
        <v>-12905</v>
      </c>
      <c r="M187" s="345"/>
    </row>
    <row r="188" spans="11:13" x14ac:dyDescent="0.25">
      <c r="K188" s="343">
        <v>5020101000</v>
      </c>
      <c r="L188" s="340">
        <v>-50221</v>
      </c>
      <c r="M188" s="345"/>
    </row>
    <row r="189" spans="11:13" x14ac:dyDescent="0.25">
      <c r="K189" s="343">
        <v>5020101000</v>
      </c>
      <c r="L189" s="340">
        <v>-29363</v>
      </c>
      <c r="M189" s="345"/>
    </row>
    <row r="190" spans="11:13" x14ac:dyDescent="0.25">
      <c r="K190" s="343">
        <v>5020101000</v>
      </c>
      <c r="L190" s="340">
        <v>-2413</v>
      </c>
      <c r="M190" s="345"/>
    </row>
    <row r="191" spans="11:13" x14ac:dyDescent="0.25">
      <c r="K191" s="343">
        <v>5020101000</v>
      </c>
      <c r="L191" s="340">
        <v>-6101</v>
      </c>
      <c r="M191" s="345"/>
    </row>
    <row r="192" spans="11:13" x14ac:dyDescent="0.25">
      <c r="K192" s="343">
        <v>5020101000</v>
      </c>
      <c r="L192" s="340">
        <v>-18465</v>
      </c>
      <c r="M192" s="345"/>
    </row>
    <row r="193" spans="11:13" x14ac:dyDescent="0.25">
      <c r="K193" s="343">
        <v>5020101000</v>
      </c>
      <c r="L193" s="340">
        <v>-13065</v>
      </c>
      <c r="M193" s="345"/>
    </row>
    <row r="194" spans="11:13" x14ac:dyDescent="0.25">
      <c r="K194" s="343">
        <v>5020101000</v>
      </c>
      <c r="L194" s="340">
        <v>-41182</v>
      </c>
      <c r="M194" s="345"/>
    </row>
    <row r="195" spans="11:13" x14ac:dyDescent="0.25">
      <c r="K195" s="343">
        <v>5020101000</v>
      </c>
      <c r="L195" s="340">
        <v>-33782</v>
      </c>
      <c r="M195" s="345"/>
    </row>
    <row r="196" spans="11:13" x14ac:dyDescent="0.25">
      <c r="K196" s="343">
        <v>5020101000</v>
      </c>
      <c r="L196" s="340">
        <v>-20365</v>
      </c>
      <c r="M196" s="345"/>
    </row>
    <row r="197" spans="11:13" x14ac:dyDescent="0.25">
      <c r="K197" s="343">
        <v>5020101000</v>
      </c>
      <c r="L197" s="340">
        <v>-6793</v>
      </c>
      <c r="M197" s="345"/>
    </row>
    <row r="198" spans="11:13" x14ac:dyDescent="0.25">
      <c r="K198" s="343">
        <v>5020101000</v>
      </c>
      <c r="L198" s="340">
        <v>-5390</v>
      </c>
      <c r="M198" s="345"/>
    </row>
    <row r="199" spans="11:13" x14ac:dyDescent="0.25">
      <c r="K199" s="343">
        <v>5020101000</v>
      </c>
      <c r="L199" s="340">
        <v>-21811</v>
      </c>
      <c r="M199" s="345"/>
    </row>
    <row r="200" spans="11:13" x14ac:dyDescent="0.25">
      <c r="K200" s="343">
        <v>5020101000</v>
      </c>
      <c r="L200" s="340">
        <v>-22612</v>
      </c>
      <c r="M200" s="345"/>
    </row>
    <row r="201" spans="11:13" x14ac:dyDescent="0.25">
      <c r="K201" s="343">
        <v>5020101000</v>
      </c>
      <c r="L201" s="340">
        <v>-25470</v>
      </c>
      <c r="M201" s="345"/>
    </row>
    <row r="202" spans="11:13" x14ac:dyDescent="0.25">
      <c r="K202" s="343">
        <v>5020101000</v>
      </c>
      <c r="L202" s="340">
        <v>-23817</v>
      </c>
      <c r="M202" s="345"/>
    </row>
    <row r="203" spans="11:13" x14ac:dyDescent="0.25">
      <c r="K203" s="343">
        <v>5020101000</v>
      </c>
      <c r="L203" s="340">
        <v>-24130</v>
      </c>
      <c r="M203" s="345"/>
    </row>
    <row r="204" spans="11:13" x14ac:dyDescent="0.25">
      <c r="K204" s="343">
        <v>5020101000</v>
      </c>
      <c r="L204" s="340">
        <v>-25830</v>
      </c>
      <c r="M204" s="345"/>
    </row>
    <row r="205" spans="11:13" x14ac:dyDescent="0.25">
      <c r="K205" s="343">
        <v>5020101000</v>
      </c>
      <c r="L205" s="340">
        <v>-23757</v>
      </c>
      <c r="M205" s="345"/>
    </row>
    <row r="206" spans="11:13" x14ac:dyDescent="0.25">
      <c r="K206" s="343">
        <v>5020101000</v>
      </c>
      <c r="L206" s="340">
        <v>-29410</v>
      </c>
      <c r="M206" s="345"/>
    </row>
    <row r="207" spans="11:13" x14ac:dyDescent="0.25">
      <c r="K207" s="343">
        <v>5020101000</v>
      </c>
      <c r="L207" s="340">
        <v>-25024</v>
      </c>
      <c r="M207" s="345"/>
    </row>
    <row r="208" spans="11:13" x14ac:dyDescent="0.25">
      <c r="K208" s="343">
        <v>5020101000</v>
      </c>
      <c r="L208" s="340">
        <v>-23165</v>
      </c>
      <c r="M208" s="345"/>
    </row>
    <row r="209" spans="11:13" x14ac:dyDescent="0.25">
      <c r="K209" s="343">
        <v>5020101000</v>
      </c>
      <c r="L209" s="340">
        <v>-23627</v>
      </c>
      <c r="M209" s="345"/>
    </row>
    <row r="210" spans="11:13" x14ac:dyDescent="0.25">
      <c r="K210" s="343">
        <v>5020101000</v>
      </c>
      <c r="L210" s="340">
        <v>-31369</v>
      </c>
      <c r="M210" s="345"/>
    </row>
    <row r="211" spans="11:13" x14ac:dyDescent="0.25">
      <c r="K211" s="343">
        <v>5020101000</v>
      </c>
      <c r="L211" s="340">
        <v>-31369</v>
      </c>
      <c r="M211" s="345"/>
    </row>
    <row r="212" spans="11:13" x14ac:dyDescent="0.25">
      <c r="K212" s="343">
        <v>5020101000</v>
      </c>
      <c r="L212" s="340">
        <v>-33349</v>
      </c>
      <c r="M212" s="345"/>
    </row>
    <row r="213" spans="11:13" x14ac:dyDescent="0.25">
      <c r="K213" s="343">
        <v>5020101000</v>
      </c>
      <c r="L213" s="340">
        <v>-35283</v>
      </c>
      <c r="M213" s="345"/>
    </row>
    <row r="214" spans="11:13" x14ac:dyDescent="0.25">
      <c r="K214" s="343">
        <v>5020101000</v>
      </c>
      <c r="L214" s="340">
        <v>-40142</v>
      </c>
      <c r="M214" s="345"/>
    </row>
    <row r="215" spans="11:13" x14ac:dyDescent="0.25">
      <c r="K215" s="343">
        <v>5020101000</v>
      </c>
      <c r="L215" s="340">
        <v>-24130</v>
      </c>
      <c r="M215" s="345"/>
    </row>
    <row r="216" spans="11:13" x14ac:dyDescent="0.25">
      <c r="K216" s="343">
        <v>5020101000</v>
      </c>
      <c r="L216" s="340">
        <v>-21231</v>
      </c>
      <c r="M216" s="345"/>
    </row>
    <row r="217" spans="11:13" x14ac:dyDescent="0.25">
      <c r="K217" s="343">
        <v>5029903000</v>
      </c>
      <c r="L217" s="340">
        <v>-16000</v>
      </c>
      <c r="M217" s="345"/>
    </row>
    <row r="218" spans="11:13" x14ac:dyDescent="0.25">
      <c r="K218" s="343">
        <v>5029903000</v>
      </c>
      <c r="L218" s="340">
        <v>-20000</v>
      </c>
      <c r="M218" s="345"/>
    </row>
    <row r="219" spans="11:13" x14ac:dyDescent="0.25">
      <c r="K219" s="343">
        <v>5029903000</v>
      </c>
      <c r="L219" s="340">
        <v>-15000</v>
      </c>
      <c r="M219" s="345"/>
    </row>
    <row r="220" spans="11:13" x14ac:dyDescent="0.25">
      <c r="K220" s="343">
        <v>5029999099</v>
      </c>
      <c r="L220" s="340">
        <v>-84000</v>
      </c>
      <c r="M220" s="345"/>
    </row>
    <row r="221" spans="11:13" x14ac:dyDescent="0.25">
      <c r="K221" s="343">
        <v>5029999099</v>
      </c>
      <c r="L221" s="340">
        <v>-48000</v>
      </c>
      <c r="M221" s="345"/>
    </row>
    <row r="222" spans="11:13" x14ac:dyDescent="0.25">
      <c r="K222" s="343">
        <v>5020501000</v>
      </c>
      <c r="L222" s="340">
        <v>-21485</v>
      </c>
      <c r="M222" s="345"/>
    </row>
    <row r="223" spans="11:13" x14ac:dyDescent="0.25">
      <c r="K223" s="343">
        <v>5020201000</v>
      </c>
      <c r="L223" s="340">
        <v>-6692.5</v>
      </c>
      <c r="M223" s="345"/>
    </row>
    <row r="224" spans="11:13" x14ac:dyDescent="0.25">
      <c r="K224" s="343">
        <v>5020101000</v>
      </c>
      <c r="L224" s="340">
        <v>-4826</v>
      </c>
      <c r="M224" s="345"/>
    </row>
    <row r="225" spans="11:13" x14ac:dyDescent="0.25">
      <c r="K225" s="343">
        <v>5020101000</v>
      </c>
      <c r="L225" s="340">
        <v>-50310</v>
      </c>
      <c r="M225" s="345"/>
    </row>
    <row r="226" spans="11:13" x14ac:dyDescent="0.25">
      <c r="K226" s="343">
        <v>5020101000</v>
      </c>
      <c r="L226" s="340">
        <v>-15560</v>
      </c>
      <c r="M226" s="345"/>
    </row>
    <row r="227" spans="11:13" x14ac:dyDescent="0.25">
      <c r="K227" s="343">
        <v>5020101000</v>
      </c>
      <c r="L227" s="340">
        <v>-16244</v>
      </c>
      <c r="M227" s="345"/>
    </row>
    <row r="228" spans="11:13" x14ac:dyDescent="0.25">
      <c r="K228" s="343">
        <v>5020101000</v>
      </c>
      <c r="L228" s="340">
        <v>-84490</v>
      </c>
      <c r="M228" s="345"/>
    </row>
    <row r="229" spans="11:13" x14ac:dyDescent="0.25">
      <c r="K229" s="343">
        <v>5020101000</v>
      </c>
      <c r="L229" s="340">
        <v>-11700</v>
      </c>
      <c r="M229" s="345"/>
    </row>
    <row r="230" spans="11:13" x14ac:dyDescent="0.25">
      <c r="K230" s="343">
        <v>5020101000</v>
      </c>
      <c r="L230" s="340">
        <v>-1300</v>
      </c>
      <c r="M230" s="345"/>
    </row>
    <row r="231" spans="11:13" x14ac:dyDescent="0.25">
      <c r="K231" s="343">
        <v>5021305002</v>
      </c>
      <c r="L231" s="340">
        <v>-90396</v>
      </c>
      <c r="M231" s="345"/>
    </row>
    <row r="10299" spans="13:15" x14ac:dyDescent="0.25">
      <c r="M10299" s="250" t="s">
        <v>277</v>
      </c>
      <c r="N10299"/>
      <c r="O10299"/>
    </row>
    <row r="10300" spans="13:15" x14ac:dyDescent="0.25">
      <c r="M10300" s="251">
        <v>5010101001</v>
      </c>
      <c r="N10300"/>
      <c r="O10300"/>
    </row>
    <row r="10301" spans="13:15" x14ac:dyDescent="0.25">
      <c r="M10301" s="251">
        <v>5020305000</v>
      </c>
      <c r="N10301"/>
      <c r="O10301"/>
    </row>
    <row r="10302" spans="13:15" x14ac:dyDescent="0.25">
      <c r="M10302" s="251">
        <v>5020307000</v>
      </c>
      <c r="N10302"/>
      <c r="O10302"/>
    </row>
    <row r="10303" spans="13:15" x14ac:dyDescent="0.25">
      <c r="M10303" s="251">
        <v>5020308000</v>
      </c>
      <c r="N10303"/>
      <c r="O10303"/>
    </row>
    <row r="10304" spans="13:15" x14ac:dyDescent="0.25">
      <c r="M10304" s="251">
        <v>5020321002</v>
      </c>
      <c r="N10304"/>
      <c r="O10304"/>
    </row>
    <row r="10305" spans="13:15" x14ac:dyDescent="0.25">
      <c r="M10305" s="251">
        <v>5020321003</v>
      </c>
      <c r="N10305"/>
      <c r="O10305"/>
    </row>
    <row r="10306" spans="13:15" x14ac:dyDescent="0.25">
      <c r="M10306" s="251">
        <v>5020321099</v>
      </c>
      <c r="N10306"/>
      <c r="O10306"/>
    </row>
    <row r="10307" spans="13:15" x14ac:dyDescent="0.25">
      <c r="M10307" s="251">
        <v>5020322001</v>
      </c>
      <c r="N10307"/>
      <c r="O10307"/>
    </row>
    <row r="10308" spans="13:15" x14ac:dyDescent="0.25">
      <c r="M10308" s="251">
        <v>5020399000</v>
      </c>
      <c r="N10308"/>
      <c r="O10308"/>
    </row>
    <row r="10309" spans="13:15" x14ac:dyDescent="0.25">
      <c r="M10309" s="251" t="s">
        <v>278</v>
      </c>
      <c r="N10309"/>
      <c r="O10309"/>
    </row>
    <row r="10310" spans="13:15" x14ac:dyDescent="0.25">
      <c r="M10310"/>
      <c r="N10310"/>
      <c r="O10310"/>
    </row>
    <row r="10311" spans="13:15" x14ac:dyDescent="0.25">
      <c r="M10311"/>
      <c r="N10311"/>
      <c r="O10311"/>
    </row>
    <row r="10312" spans="13:15" x14ac:dyDescent="0.25">
      <c r="M10312"/>
      <c r="N10312"/>
      <c r="O10312"/>
    </row>
    <row r="10313" spans="13:15" x14ac:dyDescent="0.25">
      <c r="M10313"/>
      <c r="N10313"/>
      <c r="O10313"/>
    </row>
    <row r="10314" spans="13:15" x14ac:dyDescent="0.25">
      <c r="M10314"/>
      <c r="N10314"/>
      <c r="O10314"/>
    </row>
    <row r="10315" spans="13:15" x14ac:dyDescent="0.25">
      <c r="M10315"/>
      <c r="N10315"/>
      <c r="O10315"/>
    </row>
    <row r="10316" spans="13:15" x14ac:dyDescent="0.25">
      <c r="M10316"/>
      <c r="N10316"/>
      <c r="O10316"/>
    </row>
  </sheetData>
  <mergeCells count="9">
    <mergeCell ref="A1:D1"/>
    <mergeCell ref="F1:I1"/>
    <mergeCell ref="K1:N1"/>
    <mergeCell ref="S1:U1"/>
    <mergeCell ref="BC1:BE1"/>
    <mergeCell ref="AY1:BA1"/>
    <mergeCell ref="AU1:AW1"/>
    <mergeCell ref="AN1:AP1"/>
    <mergeCell ref="AG1:AI1"/>
  </mergeCells>
  <pageMargins left="0.7" right="0.7" top="0.75" bottom="0.75" header="0.3" footer="0.3"/>
  <pageSetup orientation="portrait" r:id="rId19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64"/>
  <sheetViews>
    <sheetView view="pageBreakPreview" zoomScale="85" zoomScaleNormal="60" zoomScaleSheetLayoutView="85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C43" sqref="C43"/>
    </sheetView>
  </sheetViews>
  <sheetFormatPr defaultColWidth="9.140625" defaultRowHeight="15" x14ac:dyDescent="0.2"/>
  <cols>
    <col min="1" max="1" width="2.28515625" style="5" customWidth="1"/>
    <col min="2" max="2" width="4.5703125" style="5" customWidth="1"/>
    <col min="3" max="3" width="75" style="5" customWidth="1"/>
    <col min="4" max="4" width="32.140625" style="21" customWidth="1"/>
    <col min="5" max="5" width="33" style="5" customWidth="1"/>
    <col min="6" max="7" width="21.5703125" style="5" customWidth="1"/>
    <col min="8" max="8" width="28.5703125" style="5" customWidth="1"/>
    <col min="9" max="9" width="31" style="5" customWidth="1"/>
    <col min="10" max="10" width="20" style="5" customWidth="1"/>
    <col min="11" max="11" width="20.5703125" style="5" customWidth="1"/>
    <col min="12" max="12" width="28.5703125" style="5" customWidth="1"/>
    <col min="13" max="13" width="21.140625" style="5" customWidth="1"/>
    <col min="14" max="14" width="15.5703125" style="5" customWidth="1"/>
    <col min="15" max="15" width="26.7109375" style="5" customWidth="1"/>
    <col min="16" max="16" width="12.5703125" style="5" customWidth="1"/>
    <col min="17" max="17" width="18.140625" style="5" customWidth="1"/>
    <col min="18" max="16384" width="9.140625" style="5"/>
  </cols>
  <sheetData>
    <row r="1" spans="1:20" ht="15.75" x14ac:dyDescent="0.25">
      <c r="A1" s="17" t="s">
        <v>140</v>
      </c>
    </row>
    <row r="2" spans="1:20" ht="15.75" x14ac:dyDescent="0.25">
      <c r="A2" s="17" t="s">
        <v>1</v>
      </c>
      <c r="B2" s="17"/>
    </row>
    <row r="3" spans="1:20" ht="15.75" x14ac:dyDescent="0.25">
      <c r="A3" s="17" t="s">
        <v>139</v>
      </c>
      <c r="B3" s="17"/>
    </row>
    <row r="4" spans="1:20" ht="15.75" x14ac:dyDescent="0.25">
      <c r="A4" s="33" t="s">
        <v>138</v>
      </c>
      <c r="B4" s="17"/>
    </row>
    <row r="5" spans="1:20" ht="15.75" x14ac:dyDescent="0.25">
      <c r="A5" s="17"/>
      <c r="B5" s="17"/>
    </row>
    <row r="6" spans="1:20" ht="15.75" customHeight="1" x14ac:dyDescent="0.25">
      <c r="A6" s="476" t="s">
        <v>3</v>
      </c>
      <c r="B6" s="476"/>
      <c r="C6" s="476"/>
      <c r="D6" s="477" t="s">
        <v>4</v>
      </c>
      <c r="E6" s="478" t="s">
        <v>5</v>
      </c>
      <c r="F6" s="478"/>
      <c r="G6" s="478"/>
      <c r="H6" s="478"/>
      <c r="I6" s="478"/>
      <c r="J6" s="478"/>
      <c r="K6" s="478"/>
      <c r="L6" s="478"/>
      <c r="M6" s="478"/>
      <c r="N6" s="479" t="s">
        <v>137</v>
      </c>
      <c r="O6" s="480"/>
      <c r="P6" s="479" t="s">
        <v>6</v>
      </c>
      <c r="Q6" s="480"/>
    </row>
    <row r="7" spans="1:20" ht="15.75" x14ac:dyDescent="0.25">
      <c r="A7" s="476"/>
      <c r="B7" s="476"/>
      <c r="C7" s="476"/>
      <c r="D7" s="477"/>
      <c r="E7" s="485" t="s">
        <v>7</v>
      </c>
      <c r="F7" s="486"/>
      <c r="G7" s="486"/>
      <c r="H7" s="487"/>
      <c r="I7" s="478" t="s">
        <v>8</v>
      </c>
      <c r="J7" s="478"/>
      <c r="K7" s="478"/>
      <c r="L7" s="478"/>
      <c r="M7" s="478"/>
      <c r="N7" s="481"/>
      <c r="O7" s="482"/>
      <c r="P7" s="481"/>
      <c r="Q7" s="482"/>
    </row>
    <row r="8" spans="1:20" s="32" customFormat="1" ht="30" x14ac:dyDescent="0.25">
      <c r="A8" s="476"/>
      <c r="B8" s="476"/>
      <c r="C8" s="476"/>
      <c r="D8" s="477"/>
      <c r="E8" s="85" t="s">
        <v>9</v>
      </c>
      <c r="F8" s="85" t="s">
        <v>10</v>
      </c>
      <c r="G8" s="85" t="s">
        <v>11</v>
      </c>
      <c r="H8" s="85" t="s">
        <v>12</v>
      </c>
      <c r="I8" s="85" t="s">
        <v>9</v>
      </c>
      <c r="J8" s="85" t="s">
        <v>10</v>
      </c>
      <c r="K8" s="85" t="s">
        <v>11</v>
      </c>
      <c r="L8" s="85" t="s">
        <v>13</v>
      </c>
      <c r="M8" s="85" t="s">
        <v>14</v>
      </c>
      <c r="N8" s="483"/>
      <c r="O8" s="484"/>
      <c r="P8" s="483"/>
      <c r="Q8" s="484"/>
    </row>
    <row r="9" spans="1:20" ht="15.75" x14ac:dyDescent="0.25">
      <c r="A9" s="27" t="s">
        <v>15</v>
      </c>
      <c r="B9" s="26"/>
      <c r="C9" s="28"/>
      <c r="D9" s="30">
        <f>'[28]Conso-SCNAE 2022'!H12</f>
        <v>197996036.94</v>
      </c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pans="1:20" x14ac:dyDescent="0.2">
      <c r="A10" s="24"/>
      <c r="B10" s="26"/>
      <c r="C10" s="28"/>
      <c r="D10" s="30"/>
      <c r="E10" s="31"/>
      <c r="F10" s="31"/>
      <c r="G10" s="31"/>
      <c r="H10" s="31"/>
      <c r="I10" s="30"/>
      <c r="J10" s="30"/>
      <c r="K10" s="30"/>
      <c r="L10" s="30"/>
      <c r="M10" s="30"/>
      <c r="N10" s="30"/>
      <c r="O10" s="30"/>
      <c r="P10" s="30"/>
      <c r="Q10" s="30"/>
      <c r="R10" s="21"/>
      <c r="S10" s="21"/>
      <c r="T10" s="21"/>
    </row>
    <row r="11" spans="1:20" s="17" customFormat="1" ht="15.75" x14ac:dyDescent="0.25">
      <c r="A11" s="27"/>
      <c r="B11" s="23" t="s">
        <v>16</v>
      </c>
      <c r="C11" s="86"/>
      <c r="D11" s="25"/>
      <c r="E11" s="25"/>
      <c r="F11" s="25"/>
      <c r="G11" s="25"/>
      <c r="H11" s="25">
        <f>SUM(H12:H21)</f>
        <v>0</v>
      </c>
      <c r="I11" s="25"/>
      <c r="J11" s="25"/>
      <c r="K11" s="25"/>
      <c r="L11" s="25"/>
      <c r="M11" s="25"/>
      <c r="N11" s="25"/>
      <c r="O11" s="25"/>
      <c r="P11" s="25"/>
      <c r="Q11" s="25"/>
      <c r="R11" s="20"/>
      <c r="S11" s="20"/>
      <c r="T11" s="20"/>
    </row>
    <row r="12" spans="1:20" x14ac:dyDescent="0.2">
      <c r="A12" s="24"/>
      <c r="B12" s="26"/>
      <c r="C12" s="28" t="s">
        <v>17</v>
      </c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21"/>
      <c r="S12" s="21"/>
      <c r="T12" s="21"/>
    </row>
    <row r="13" spans="1:20" x14ac:dyDescent="0.2">
      <c r="A13" s="24"/>
      <c r="B13" s="26"/>
      <c r="C13" s="22" t="s">
        <v>108</v>
      </c>
      <c r="D13" s="30"/>
      <c r="E13" s="30"/>
      <c r="F13" s="30"/>
      <c r="G13" s="30"/>
      <c r="H13" s="30"/>
      <c r="I13" s="30"/>
      <c r="J13" s="30">
        <f>D13</f>
        <v>0</v>
      </c>
      <c r="K13" s="30"/>
      <c r="L13" s="30">
        <f>J13</f>
        <v>0</v>
      </c>
      <c r="M13" s="30"/>
      <c r="N13" s="87"/>
      <c r="P13" s="30"/>
      <c r="Q13" s="30"/>
      <c r="R13" s="21"/>
      <c r="S13" s="21"/>
      <c r="T13" s="21"/>
    </row>
    <row r="14" spans="1:20" x14ac:dyDescent="0.2">
      <c r="A14" s="24"/>
      <c r="B14" s="26"/>
      <c r="C14" s="22" t="s">
        <v>136</v>
      </c>
      <c r="D14" s="30"/>
      <c r="E14" s="30"/>
      <c r="F14" s="30"/>
      <c r="G14" s="30"/>
      <c r="H14" s="30">
        <f>+G14-F14</f>
        <v>0</v>
      </c>
      <c r="I14" s="30"/>
      <c r="J14" s="30"/>
      <c r="K14" s="30"/>
      <c r="L14" s="30">
        <f>+J14-K14</f>
        <v>0</v>
      </c>
      <c r="M14" s="30"/>
      <c r="N14" s="30"/>
      <c r="O14" s="30"/>
      <c r="P14" s="30"/>
      <c r="Q14" s="30"/>
      <c r="R14" s="21"/>
      <c r="S14" s="21"/>
      <c r="T14" s="21"/>
    </row>
    <row r="15" spans="1:20" x14ac:dyDescent="0.2">
      <c r="A15" s="24"/>
      <c r="B15" s="26"/>
      <c r="C15" s="22" t="s">
        <v>135</v>
      </c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21"/>
      <c r="S15" s="21"/>
      <c r="T15" s="21"/>
    </row>
    <row r="16" spans="1:20" x14ac:dyDescent="0.2">
      <c r="A16" s="24"/>
      <c r="B16" s="26"/>
      <c r="C16" s="28" t="s">
        <v>134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21"/>
      <c r="S16" s="21"/>
      <c r="T16" s="21"/>
    </row>
    <row r="17" spans="1:20" x14ac:dyDescent="0.2">
      <c r="A17" s="24"/>
      <c r="B17" s="26"/>
      <c r="C17" s="22" t="s">
        <v>133</v>
      </c>
      <c r="D17" s="30"/>
      <c r="E17" s="30"/>
      <c r="F17" s="30"/>
      <c r="G17" s="30"/>
      <c r="H17" s="30"/>
      <c r="I17" s="30"/>
      <c r="J17" s="30"/>
      <c r="K17" s="30"/>
      <c r="L17" s="30"/>
      <c r="M17" s="30">
        <f>+K17-J17</f>
        <v>0</v>
      </c>
      <c r="N17" s="30"/>
      <c r="O17" s="30"/>
      <c r="P17" s="30"/>
      <c r="Q17" s="30"/>
      <c r="R17" s="21"/>
      <c r="S17" s="21"/>
      <c r="T17" s="21"/>
    </row>
    <row r="18" spans="1:20" x14ac:dyDescent="0.2">
      <c r="A18" s="24"/>
      <c r="B18" s="26"/>
      <c r="C18" s="22" t="s">
        <v>132</v>
      </c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21"/>
      <c r="S18" s="21"/>
      <c r="T18" s="21"/>
    </row>
    <row r="19" spans="1:20" x14ac:dyDescent="0.2">
      <c r="A19" s="24"/>
      <c r="B19" s="26"/>
      <c r="C19" s="22" t="s">
        <v>131</v>
      </c>
      <c r="D19" s="30"/>
      <c r="E19" s="30"/>
      <c r="F19" s="30"/>
      <c r="G19" s="30"/>
      <c r="H19" s="30">
        <f>G19</f>
        <v>0</v>
      </c>
      <c r="I19" s="30"/>
      <c r="J19" s="30"/>
      <c r="K19" s="30"/>
      <c r="L19" s="30"/>
      <c r="M19" s="30"/>
      <c r="N19" s="30"/>
      <c r="O19" s="30"/>
      <c r="P19" s="30"/>
      <c r="Q19" s="30"/>
      <c r="R19" s="21"/>
      <c r="S19" s="21"/>
      <c r="T19" s="21"/>
    </row>
    <row r="20" spans="1:20" x14ac:dyDescent="0.2">
      <c r="A20" s="24"/>
      <c r="B20" s="26"/>
      <c r="C20" s="29" t="s">
        <v>130</v>
      </c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21"/>
      <c r="S20" s="21"/>
      <c r="T20" s="21"/>
    </row>
    <row r="21" spans="1:20" x14ac:dyDescent="0.2">
      <c r="A21" s="24"/>
      <c r="B21" s="26"/>
      <c r="C21" s="22" t="s">
        <v>129</v>
      </c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21"/>
      <c r="S21" s="21"/>
      <c r="T21" s="21"/>
    </row>
    <row r="22" spans="1:20" x14ac:dyDescent="0.2">
      <c r="A22" s="24"/>
      <c r="B22" s="26"/>
      <c r="C22" s="22" t="s">
        <v>95</v>
      </c>
      <c r="D22" s="30">
        <v>713188.46</v>
      </c>
      <c r="E22" s="30"/>
      <c r="F22" s="30"/>
      <c r="G22" s="30"/>
      <c r="H22" s="30"/>
      <c r="I22" s="30" t="s">
        <v>128</v>
      </c>
      <c r="J22" s="30">
        <v>713188.46</v>
      </c>
      <c r="K22" s="30"/>
      <c r="L22" s="30"/>
      <c r="M22" s="30">
        <f>+K22-J22</f>
        <v>-713188.46</v>
      </c>
      <c r="N22" s="30"/>
      <c r="O22" s="30"/>
      <c r="P22" s="30" t="s">
        <v>84</v>
      </c>
      <c r="Q22" s="30">
        <v>713188.46</v>
      </c>
      <c r="R22" s="21"/>
      <c r="S22" s="21"/>
      <c r="T22" s="21"/>
    </row>
    <row r="23" spans="1:20" s="17" customFormat="1" ht="15.75" x14ac:dyDescent="0.25">
      <c r="A23" s="27"/>
      <c r="B23" s="23" t="s">
        <v>23</v>
      </c>
      <c r="C23" s="86"/>
      <c r="D23" s="25"/>
      <c r="E23" s="25">
        <f>SUM(E24:E33)</f>
        <v>0</v>
      </c>
      <c r="F23" s="25"/>
      <c r="G23" s="25"/>
      <c r="H23" s="25">
        <f>SUM(H24:H44)</f>
        <v>-136317090.89000002</v>
      </c>
      <c r="I23" s="25"/>
      <c r="J23" s="25"/>
      <c r="K23" s="25"/>
      <c r="L23" s="25"/>
      <c r="M23" s="25"/>
      <c r="N23" s="25"/>
      <c r="O23" s="25"/>
      <c r="P23" s="25"/>
      <c r="Q23" s="25"/>
      <c r="R23" s="20"/>
      <c r="S23" s="20"/>
      <c r="T23" s="20"/>
    </row>
    <row r="24" spans="1:20" x14ac:dyDescent="0.2">
      <c r="A24" s="24"/>
      <c r="B24" s="26"/>
      <c r="C24" s="28" t="s">
        <v>24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21"/>
      <c r="S24" s="21"/>
      <c r="T24" s="21"/>
    </row>
    <row r="25" spans="1:20" x14ac:dyDescent="0.2">
      <c r="A25" s="24"/>
      <c r="B25" s="26"/>
      <c r="C25" s="22" t="s">
        <v>96</v>
      </c>
      <c r="D25" s="30">
        <f>H25</f>
        <v>-5458382.25</v>
      </c>
      <c r="E25" s="30" t="s">
        <v>29</v>
      </c>
      <c r="F25" s="30">
        <v>5458382.25</v>
      </c>
      <c r="G25" s="30"/>
      <c r="H25" s="30">
        <f t="shared" ref="H25:H32" si="0">-(+F25-G25)</f>
        <v>-5458382.25</v>
      </c>
      <c r="I25" s="31" t="s">
        <v>73</v>
      </c>
      <c r="J25" s="31"/>
      <c r="K25" s="88">
        <v>5458382.25</v>
      </c>
      <c r="L25" s="31"/>
      <c r="M25" s="30">
        <f>+K25-J25</f>
        <v>5458382.25</v>
      </c>
      <c r="N25" s="30"/>
      <c r="O25" s="30"/>
      <c r="P25" s="30"/>
      <c r="Q25" s="30"/>
      <c r="R25" s="21"/>
      <c r="S25" s="21"/>
      <c r="T25" s="21"/>
    </row>
    <row r="26" spans="1:20" x14ac:dyDescent="0.2">
      <c r="A26" s="24"/>
      <c r="B26" s="26"/>
      <c r="C26" s="22" t="s">
        <v>97</v>
      </c>
      <c r="D26" s="30">
        <f>H26</f>
        <v>-103507.5</v>
      </c>
      <c r="E26" s="30" t="s">
        <v>127</v>
      </c>
      <c r="F26" s="30">
        <v>103507.5</v>
      </c>
      <c r="G26" s="30"/>
      <c r="H26" s="30">
        <f t="shared" si="0"/>
        <v>-103507.5</v>
      </c>
      <c r="I26" s="31" t="s">
        <v>73</v>
      </c>
      <c r="J26" s="31"/>
      <c r="K26" s="88">
        <v>103507.5</v>
      </c>
      <c r="L26" s="31"/>
      <c r="M26" s="30">
        <f>+K26-J26</f>
        <v>103507.5</v>
      </c>
      <c r="N26" s="30"/>
      <c r="O26" s="30"/>
      <c r="P26" s="30"/>
      <c r="Q26" s="30"/>
      <c r="R26" s="21"/>
      <c r="S26" s="21"/>
      <c r="T26" s="21"/>
    </row>
    <row r="27" spans="1:20" x14ac:dyDescent="0.2">
      <c r="A27" s="24"/>
      <c r="B27" s="26"/>
      <c r="C27" s="22" t="s">
        <v>98</v>
      </c>
      <c r="D27" s="30">
        <f>H27</f>
        <v>-58.44</v>
      </c>
      <c r="E27" s="30" t="s">
        <v>47</v>
      </c>
      <c r="F27" s="30">
        <v>58.44</v>
      </c>
      <c r="G27" s="30"/>
      <c r="H27" s="30">
        <f t="shared" si="0"/>
        <v>-58.44</v>
      </c>
      <c r="I27" s="31" t="s">
        <v>73</v>
      </c>
      <c r="J27" s="31"/>
      <c r="K27" s="88">
        <v>58.44</v>
      </c>
      <c r="L27" s="31"/>
      <c r="M27" s="30">
        <f>+K27-J27</f>
        <v>58.44</v>
      </c>
      <c r="N27" s="30"/>
      <c r="O27" s="30"/>
      <c r="P27" s="30"/>
      <c r="Q27" s="30"/>
      <c r="R27" s="21"/>
      <c r="S27" s="21"/>
      <c r="T27" s="21"/>
    </row>
    <row r="28" spans="1:20" x14ac:dyDescent="0.2">
      <c r="A28" s="24"/>
      <c r="B28" s="26"/>
      <c r="C28" s="22" t="s">
        <v>99</v>
      </c>
      <c r="D28" s="30">
        <f>H28</f>
        <v>-534100</v>
      </c>
      <c r="E28" s="30" t="s">
        <v>42</v>
      </c>
      <c r="F28" s="30">
        <v>534100</v>
      </c>
      <c r="G28" s="30"/>
      <c r="H28" s="30">
        <f t="shared" si="0"/>
        <v>-534100</v>
      </c>
      <c r="I28" s="31" t="s">
        <v>73</v>
      </c>
      <c r="J28" s="31"/>
      <c r="K28" s="88">
        <v>534100</v>
      </c>
      <c r="L28" s="31"/>
      <c r="M28" s="30">
        <f>+K28-J28</f>
        <v>534100</v>
      </c>
      <c r="N28" s="30"/>
      <c r="O28" s="30"/>
      <c r="P28" s="30"/>
      <c r="Q28" s="30"/>
      <c r="R28" s="21"/>
      <c r="S28" s="21"/>
      <c r="T28" s="21"/>
    </row>
    <row r="29" spans="1:20" ht="17.25" x14ac:dyDescent="0.3">
      <c r="A29" s="24"/>
      <c r="B29" s="26"/>
      <c r="C29" s="22" t="s">
        <v>100</v>
      </c>
      <c r="D29" s="30">
        <f>L29</f>
        <v>-23685</v>
      </c>
      <c r="E29" s="30"/>
      <c r="F29" s="30"/>
      <c r="G29" s="89"/>
      <c r="H29" s="30">
        <f t="shared" si="0"/>
        <v>0</v>
      </c>
      <c r="I29" s="30" t="s">
        <v>126</v>
      </c>
      <c r="J29" s="89"/>
      <c r="K29" s="30">
        <v>23685</v>
      </c>
      <c r="L29" s="30">
        <f>J29-K29</f>
        <v>-23685</v>
      </c>
      <c r="M29" s="30"/>
      <c r="N29" s="30"/>
      <c r="O29" s="30"/>
      <c r="P29" s="90"/>
      <c r="Q29" s="30">
        <v>-23685</v>
      </c>
      <c r="R29" s="21"/>
      <c r="S29" s="21"/>
      <c r="T29" s="21"/>
    </row>
    <row r="30" spans="1:20" x14ac:dyDescent="0.2">
      <c r="A30" s="24"/>
      <c r="B30" s="26"/>
      <c r="C30" s="22" t="s">
        <v>101</v>
      </c>
      <c r="D30" s="30">
        <f>Q30</f>
        <v>-271741.58</v>
      </c>
      <c r="E30" s="30"/>
      <c r="F30" s="30"/>
      <c r="G30" s="30"/>
      <c r="H30" s="30">
        <f t="shared" si="0"/>
        <v>0</v>
      </c>
      <c r="I30" s="30" t="s">
        <v>125</v>
      </c>
      <c r="J30" s="30"/>
      <c r="K30" s="30">
        <v>271741.58</v>
      </c>
      <c r="L30" s="30">
        <f>J30-K30</f>
        <v>-271741.58</v>
      </c>
      <c r="M30" s="30"/>
      <c r="N30" s="30"/>
      <c r="O30" s="30"/>
      <c r="P30" s="30"/>
      <c r="Q30" s="30">
        <v>-271741.58</v>
      </c>
      <c r="R30" s="21"/>
      <c r="S30" s="21"/>
      <c r="T30" s="21"/>
    </row>
    <row r="31" spans="1:20" x14ac:dyDescent="0.2">
      <c r="A31" s="24"/>
      <c r="B31" s="26"/>
      <c r="C31" s="22" t="s">
        <v>102</v>
      </c>
      <c r="D31" s="30">
        <f>H31+Q31</f>
        <v>-400603.9</v>
      </c>
      <c r="E31" s="30"/>
      <c r="F31" s="30"/>
      <c r="G31" s="30"/>
      <c r="H31" s="30">
        <f t="shared" si="0"/>
        <v>0</v>
      </c>
      <c r="I31" s="30" t="s">
        <v>124</v>
      </c>
      <c r="J31" s="30"/>
      <c r="K31" s="30">
        <f>371803.9+28800</f>
        <v>400603.9</v>
      </c>
      <c r="L31" s="30">
        <f>J31-K31</f>
        <v>-400603.9</v>
      </c>
      <c r="M31" s="30"/>
      <c r="N31" s="30"/>
      <c r="O31" s="30"/>
      <c r="P31" s="30"/>
      <c r="Q31" s="30">
        <f>-28800-371803.9</f>
        <v>-400603.9</v>
      </c>
      <c r="R31" s="21"/>
      <c r="S31" s="21"/>
      <c r="T31" s="21"/>
    </row>
    <row r="32" spans="1:20" x14ac:dyDescent="0.2">
      <c r="A32" s="24"/>
      <c r="B32" s="26"/>
      <c r="C32" s="22" t="s">
        <v>103</v>
      </c>
      <c r="D32" s="30">
        <f>Q32</f>
        <v>-8780</v>
      </c>
      <c r="E32" s="30"/>
      <c r="F32" s="30"/>
      <c r="G32" s="30"/>
      <c r="H32" s="30">
        <f t="shared" si="0"/>
        <v>0</v>
      </c>
      <c r="I32" s="30" t="s">
        <v>123</v>
      </c>
      <c r="J32" s="30"/>
      <c r="K32" s="30">
        <v>8780</v>
      </c>
      <c r="L32" s="30">
        <f>J32-K32</f>
        <v>-8780</v>
      </c>
      <c r="M32" s="30"/>
      <c r="N32" s="30"/>
      <c r="O32" s="30"/>
      <c r="P32" s="30"/>
      <c r="Q32" s="30">
        <v>-8780</v>
      </c>
      <c r="R32" s="21"/>
      <c r="S32" s="21"/>
      <c r="T32" s="21"/>
    </row>
    <row r="33" spans="1:20" x14ac:dyDescent="0.2">
      <c r="A33" s="24"/>
      <c r="B33" s="26"/>
      <c r="C33" s="28" t="s">
        <v>54</v>
      </c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21"/>
      <c r="S33" s="21"/>
      <c r="T33" s="21"/>
    </row>
    <row r="34" spans="1:20" x14ac:dyDescent="0.2">
      <c r="A34" s="24"/>
      <c r="B34" s="26"/>
      <c r="C34" s="22" t="s">
        <v>104</v>
      </c>
      <c r="D34" s="30">
        <f>H34</f>
        <v>100</v>
      </c>
      <c r="E34" s="30" t="s">
        <v>29</v>
      </c>
      <c r="F34" s="30"/>
      <c r="G34" s="91">
        <v>100</v>
      </c>
      <c r="H34" s="30">
        <f>-(+F34-G34)</f>
        <v>100</v>
      </c>
      <c r="I34" s="30" t="s">
        <v>73</v>
      </c>
      <c r="J34" s="30">
        <v>100</v>
      </c>
      <c r="K34" s="30"/>
      <c r="L34" s="30"/>
      <c r="M34" s="30">
        <f>+K34-J34</f>
        <v>-100</v>
      </c>
      <c r="N34" s="30"/>
      <c r="O34" s="30"/>
      <c r="P34" s="90"/>
      <c r="Q34" s="30"/>
      <c r="R34" s="21"/>
      <c r="S34" s="21"/>
      <c r="T34" s="21"/>
    </row>
    <row r="35" spans="1:20" x14ac:dyDescent="0.2">
      <c r="A35" s="24"/>
      <c r="B35" s="26"/>
      <c r="C35" s="22" t="s">
        <v>105</v>
      </c>
      <c r="D35" s="30">
        <f>H35</f>
        <v>38480</v>
      </c>
      <c r="E35" s="30" t="s">
        <v>42</v>
      </c>
      <c r="F35" s="30"/>
      <c r="G35" s="91">
        <v>38480</v>
      </c>
      <c r="H35" s="30">
        <f>-(+F35-G35)</f>
        <v>38480</v>
      </c>
      <c r="I35" s="30" t="s">
        <v>73</v>
      </c>
      <c r="J35" s="30">
        <v>38480</v>
      </c>
      <c r="K35" s="30"/>
      <c r="L35" s="30"/>
      <c r="M35" s="30">
        <f>+K35-J35</f>
        <v>-38480</v>
      </c>
      <c r="N35" s="30"/>
      <c r="O35" s="30"/>
      <c r="P35" s="30"/>
      <c r="Q35" s="30"/>
      <c r="R35" s="21"/>
      <c r="S35" s="21"/>
      <c r="T35" s="21"/>
    </row>
    <row r="36" spans="1:20" x14ac:dyDescent="0.2">
      <c r="A36" s="24"/>
      <c r="B36" s="26"/>
      <c r="C36" s="22" t="s">
        <v>106</v>
      </c>
      <c r="D36" s="30">
        <f>H36</f>
        <v>204010.52</v>
      </c>
      <c r="E36" s="30" t="s">
        <v>47</v>
      </c>
      <c r="F36" s="30"/>
      <c r="G36" s="91">
        <v>204010.52</v>
      </c>
      <c r="H36" s="30">
        <f>-(+F36-G36)</f>
        <v>204010.52</v>
      </c>
      <c r="I36" s="30" t="s">
        <v>73</v>
      </c>
      <c r="J36" s="30">
        <v>204010.52</v>
      </c>
      <c r="K36" s="30"/>
      <c r="L36" s="30"/>
      <c r="M36" s="30">
        <f>+K36-J36</f>
        <v>-204010.52</v>
      </c>
      <c r="N36" s="30"/>
      <c r="O36" s="30"/>
      <c r="P36" s="30"/>
      <c r="Q36" s="30"/>
      <c r="R36" s="21"/>
      <c r="S36" s="21"/>
      <c r="T36" s="21"/>
    </row>
    <row r="37" spans="1:20" x14ac:dyDescent="0.2">
      <c r="A37" s="24"/>
      <c r="B37" s="26"/>
      <c r="C37" s="22" t="s">
        <v>122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21"/>
      <c r="S37" s="21"/>
      <c r="T37" s="21"/>
    </row>
    <row r="38" spans="1:20" s="17" customFormat="1" ht="17.25" x14ac:dyDescent="0.3">
      <c r="A38" s="27"/>
      <c r="B38" s="23"/>
      <c r="C38" s="22" t="s">
        <v>107</v>
      </c>
      <c r="D38" s="30">
        <f>Q38</f>
        <v>82792.240000000005</v>
      </c>
      <c r="E38" s="30"/>
      <c r="F38" s="89"/>
      <c r="G38" s="91"/>
      <c r="H38" s="30">
        <f>-(+F38-G38)</f>
        <v>0</v>
      </c>
      <c r="I38" s="30" t="s">
        <v>121</v>
      </c>
      <c r="J38" s="30">
        <v>82792.240000000005</v>
      </c>
      <c r="K38" s="30"/>
      <c r="L38" s="30">
        <f>J38-K38</f>
        <v>82792.240000000005</v>
      </c>
      <c r="M38" s="25"/>
      <c r="N38" s="25"/>
      <c r="O38" s="25"/>
      <c r="P38" s="25"/>
      <c r="Q38" s="30">
        <v>82792.240000000005</v>
      </c>
      <c r="R38" s="20"/>
      <c r="S38" s="20"/>
      <c r="T38" s="20"/>
    </row>
    <row r="39" spans="1:20" s="17" customFormat="1" ht="15.75" x14ac:dyDescent="0.25">
      <c r="A39" s="27"/>
      <c r="B39" s="23"/>
      <c r="C39" s="26" t="s">
        <v>58</v>
      </c>
      <c r="D39" s="25"/>
      <c r="E39" s="25"/>
      <c r="F39" s="25"/>
      <c r="G39" s="25"/>
      <c r="H39" s="30"/>
      <c r="I39" s="25"/>
      <c r="J39" s="25"/>
      <c r="K39" s="25"/>
      <c r="L39" s="25"/>
      <c r="M39" s="25"/>
      <c r="N39" s="25"/>
      <c r="O39" s="25"/>
      <c r="P39" s="25"/>
      <c r="Q39" s="25"/>
      <c r="R39" s="20"/>
      <c r="S39" s="20"/>
      <c r="T39" s="20"/>
    </row>
    <row r="40" spans="1:20" ht="15.75" x14ac:dyDescent="0.25">
      <c r="A40" s="24"/>
      <c r="B40" s="23"/>
      <c r="C40" s="22" t="s">
        <v>120</v>
      </c>
      <c r="D40" s="92"/>
      <c r="E40" s="93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21"/>
      <c r="S40" s="21"/>
      <c r="T40" s="21"/>
    </row>
    <row r="41" spans="1:20" ht="15.75" x14ac:dyDescent="0.25">
      <c r="A41" s="24"/>
      <c r="B41" s="23"/>
      <c r="C41" s="22" t="s">
        <v>93</v>
      </c>
      <c r="D41" s="30">
        <f>H41</f>
        <v>1891690.2000000002</v>
      </c>
      <c r="E41" s="93" t="s">
        <v>34</v>
      </c>
      <c r="F41" s="30"/>
      <c r="G41" s="30">
        <v>1891690.2000000002</v>
      </c>
      <c r="H41" s="30">
        <f>-(+F41-G41)</f>
        <v>1891690.2000000002</v>
      </c>
      <c r="I41" s="30" t="s">
        <v>118</v>
      </c>
      <c r="J41" s="30">
        <v>1891690.2000000002</v>
      </c>
      <c r="K41" s="30"/>
      <c r="L41" s="30">
        <f>J41-K41</f>
        <v>1891690.2000000002</v>
      </c>
      <c r="M41" s="30"/>
      <c r="N41" s="30"/>
      <c r="O41" s="30"/>
      <c r="P41" s="30"/>
      <c r="Q41" s="30"/>
      <c r="R41" s="21"/>
      <c r="S41" s="21"/>
      <c r="T41" s="21"/>
    </row>
    <row r="42" spans="1:20" ht="15.75" x14ac:dyDescent="0.25">
      <c r="A42" s="24"/>
      <c r="B42" s="23"/>
      <c r="C42" s="22" t="s">
        <v>119</v>
      </c>
      <c r="D42" s="92"/>
      <c r="E42" s="93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1"/>
      <c r="S42" s="21"/>
      <c r="T42" s="21"/>
    </row>
    <row r="43" spans="1:20" ht="15.75" x14ac:dyDescent="0.25">
      <c r="A43" s="24"/>
      <c r="B43" s="23"/>
      <c r="C43" s="22" t="s">
        <v>94</v>
      </c>
      <c r="D43" s="30">
        <v>-0.18</v>
      </c>
      <c r="E43" s="93"/>
      <c r="F43" s="30"/>
      <c r="G43" s="30"/>
      <c r="H43" s="30">
        <f>-(+F43-G43)</f>
        <v>0</v>
      </c>
      <c r="I43" s="30" t="s">
        <v>60</v>
      </c>
      <c r="J43" s="30"/>
      <c r="K43" s="30">
        <v>0.18</v>
      </c>
      <c r="L43" s="30">
        <f>J43-K43</f>
        <v>-0.18</v>
      </c>
      <c r="M43" s="30"/>
      <c r="N43" s="30"/>
      <c r="O43" s="30"/>
      <c r="P43" s="30"/>
      <c r="Q43" s="30">
        <v>-0.18</v>
      </c>
      <c r="R43" s="21"/>
      <c r="S43" s="21"/>
      <c r="T43" s="21"/>
    </row>
    <row r="44" spans="1:20" ht="15.75" x14ac:dyDescent="0.25">
      <c r="A44" s="24"/>
      <c r="B44" s="23"/>
      <c r="C44" s="22" t="s">
        <v>67</v>
      </c>
      <c r="D44" s="30">
        <f>H44</f>
        <v>-132355323.42</v>
      </c>
      <c r="E44" s="93" t="s">
        <v>34</v>
      </c>
      <c r="F44" s="30">
        <v>132355323.42</v>
      </c>
      <c r="G44" s="30"/>
      <c r="H44" s="30">
        <f>-(+F44-G44)</f>
        <v>-132355323.42</v>
      </c>
      <c r="I44" s="30" t="s">
        <v>118</v>
      </c>
      <c r="J44" s="30"/>
      <c r="K44" s="30">
        <v>132355323.42</v>
      </c>
      <c r="L44" s="30">
        <f>J44-K44</f>
        <v>-132355323.42</v>
      </c>
      <c r="M44" s="30"/>
      <c r="N44" s="30"/>
      <c r="O44" s="30"/>
      <c r="P44" s="30"/>
      <c r="Q44" s="30"/>
      <c r="R44" s="21"/>
      <c r="S44" s="21"/>
      <c r="T44" s="21"/>
    </row>
    <row r="45" spans="1:20" s="17" customFormat="1" ht="15.75" x14ac:dyDescent="0.25">
      <c r="A45" s="27" t="s">
        <v>117</v>
      </c>
      <c r="B45" s="23"/>
      <c r="C45" s="86"/>
      <c r="D45" s="25">
        <f>SUM(D9:D44)</f>
        <v>61770116.089999989</v>
      </c>
      <c r="E45" s="25">
        <f>E9+E39+E23+E11</f>
        <v>0</v>
      </c>
      <c r="F45" s="25"/>
      <c r="G45" s="25"/>
      <c r="H45" s="25">
        <f>H23</f>
        <v>-136317090.89000002</v>
      </c>
      <c r="I45" s="25">
        <f>SUM(I12:I44)</f>
        <v>0</v>
      </c>
      <c r="J45" s="25"/>
      <c r="K45" s="25"/>
      <c r="L45" s="25">
        <f>SUM(L12:L44)</f>
        <v>-131085651.64</v>
      </c>
      <c r="M45" s="25">
        <f>SUM(M11:M44)</f>
        <v>5140269.2100000009</v>
      </c>
      <c r="N45" s="25"/>
      <c r="O45" s="25">
        <f>SUM(O11:O44)</f>
        <v>0</v>
      </c>
      <c r="P45" s="25"/>
      <c r="Q45" s="25">
        <f>SUM(Q11:Q44)</f>
        <v>91170.039999999935</v>
      </c>
      <c r="R45" s="20"/>
      <c r="S45" s="20"/>
      <c r="T45" s="20"/>
    </row>
    <row r="46" spans="1:20" x14ac:dyDescent="0.2">
      <c r="A46" s="18" t="s">
        <v>116</v>
      </c>
      <c r="D46" s="19"/>
      <c r="E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</row>
    <row r="47" spans="1:20" ht="15.75" x14ac:dyDescent="0.25">
      <c r="A47" s="18"/>
      <c r="C47" s="17" t="s">
        <v>74</v>
      </c>
      <c r="E47" s="17" t="s">
        <v>115</v>
      </c>
      <c r="I47" s="17" t="s">
        <v>114</v>
      </c>
      <c r="J47" s="21"/>
      <c r="K47" s="21"/>
      <c r="L47" s="21"/>
      <c r="M47" s="17"/>
      <c r="N47" s="17"/>
      <c r="O47" s="17"/>
      <c r="P47" s="16" t="s">
        <v>113</v>
      </c>
      <c r="Q47" s="21"/>
      <c r="R47" s="21"/>
      <c r="S47" s="21"/>
      <c r="T47" s="21"/>
    </row>
    <row r="48" spans="1:20" x14ac:dyDescent="0.2">
      <c r="C48" s="15" t="s">
        <v>78</v>
      </c>
      <c r="D48" s="21">
        <f>D45</f>
        <v>61770116.089999989</v>
      </c>
      <c r="I48" s="21"/>
      <c r="J48" s="94" t="s">
        <v>79</v>
      </c>
      <c r="K48" s="14"/>
      <c r="L48" s="21">
        <f>L45</f>
        <v>-131085651.64</v>
      </c>
      <c r="M48" s="21"/>
      <c r="N48" s="21"/>
      <c r="O48" s="21"/>
      <c r="P48" s="21"/>
      <c r="Q48" s="21"/>
      <c r="R48" s="21"/>
      <c r="S48" s="21"/>
      <c r="T48" s="21"/>
    </row>
    <row r="49" spans="3:20" x14ac:dyDescent="0.2">
      <c r="C49" s="15" t="s">
        <v>80</v>
      </c>
      <c r="D49" s="21">
        <f>D9</f>
        <v>197996036.94</v>
      </c>
      <c r="I49" s="21"/>
      <c r="J49" s="94" t="s">
        <v>81</v>
      </c>
      <c r="K49" s="14"/>
      <c r="L49" s="21">
        <f>M45</f>
        <v>5140269.2100000009</v>
      </c>
      <c r="M49" s="21"/>
      <c r="N49" s="21"/>
      <c r="O49" s="21"/>
      <c r="P49" s="21"/>
      <c r="Q49" s="21"/>
      <c r="R49" s="21"/>
      <c r="S49" s="21"/>
      <c r="T49" s="21"/>
    </row>
    <row r="50" spans="3:20" ht="15.75" x14ac:dyDescent="0.25">
      <c r="C50" s="13" t="s">
        <v>82</v>
      </c>
      <c r="D50" s="20">
        <f>+D48-D49</f>
        <v>-136225920.85000002</v>
      </c>
      <c r="E50" s="12" t="s">
        <v>83</v>
      </c>
      <c r="H50" s="11">
        <f>+H45</f>
        <v>-136317090.89000002</v>
      </c>
      <c r="I50" s="21"/>
      <c r="J50" s="94" t="s">
        <v>84</v>
      </c>
      <c r="K50" s="10"/>
      <c r="L50" s="20"/>
      <c r="M50" s="21"/>
      <c r="N50" s="21"/>
      <c r="O50" s="21">
        <f>O45</f>
        <v>0</v>
      </c>
      <c r="P50" s="20" t="s">
        <v>84</v>
      </c>
      <c r="Q50" s="20">
        <f>Q45</f>
        <v>91170.039999999935</v>
      </c>
      <c r="R50" s="21"/>
      <c r="S50" s="21"/>
      <c r="T50" s="21"/>
    </row>
    <row r="51" spans="3:20" ht="15.75" x14ac:dyDescent="0.25">
      <c r="I51" s="21"/>
      <c r="J51" s="95" t="s">
        <v>85</v>
      </c>
      <c r="K51" s="20"/>
      <c r="L51" s="20">
        <f>L48-L49</f>
        <v>-136225920.84999999</v>
      </c>
      <c r="M51" s="20"/>
      <c r="N51" s="20"/>
      <c r="O51" s="20">
        <f>+L48-L49-O50</f>
        <v>-136225920.84999999</v>
      </c>
      <c r="P51" s="21"/>
      <c r="Q51" s="21"/>
      <c r="R51" s="21"/>
      <c r="S51" s="21"/>
      <c r="T51" s="21"/>
    </row>
    <row r="52" spans="3:20" ht="15.75" x14ac:dyDescent="0.25">
      <c r="I52" s="21"/>
      <c r="J52" s="95"/>
      <c r="K52" s="20"/>
      <c r="L52" s="20"/>
      <c r="M52" s="20"/>
      <c r="N52" s="20"/>
      <c r="O52" s="20"/>
      <c r="P52" s="21"/>
      <c r="Q52" s="21"/>
      <c r="R52" s="21"/>
      <c r="S52" s="21"/>
      <c r="T52" s="21"/>
    </row>
    <row r="53" spans="3:20" ht="15.75" x14ac:dyDescent="0.25">
      <c r="H53" s="9"/>
      <c r="I53" s="21"/>
      <c r="J53" s="95"/>
      <c r="K53" s="20"/>
      <c r="L53" s="20"/>
      <c r="M53" s="20"/>
      <c r="N53" s="20"/>
      <c r="O53" s="20"/>
      <c r="P53" s="21"/>
      <c r="Q53" s="21"/>
      <c r="R53" s="21"/>
      <c r="S53" s="21"/>
      <c r="T53" s="21"/>
    </row>
    <row r="54" spans="3:20" x14ac:dyDescent="0.2">
      <c r="C54" s="5" t="s">
        <v>88</v>
      </c>
      <c r="F54" s="5" t="s">
        <v>112</v>
      </c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</row>
    <row r="55" spans="3:20" x14ac:dyDescent="0.2"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</row>
    <row r="56" spans="3:20" x14ac:dyDescent="0.2"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</row>
    <row r="57" spans="3:20" x14ac:dyDescent="0.2">
      <c r="C57" s="83" t="s">
        <v>111</v>
      </c>
      <c r="G57" s="488" t="s">
        <v>90</v>
      </c>
      <c r="H57" s="488"/>
      <c r="I57" s="21"/>
      <c r="J57" s="21"/>
      <c r="K57" s="21"/>
    </row>
    <row r="58" spans="3:20" hidden="1" x14ac:dyDescent="0.2">
      <c r="C58" s="84" t="s">
        <v>110</v>
      </c>
      <c r="I58" s="21"/>
      <c r="J58" s="21"/>
      <c r="K58" s="21"/>
    </row>
    <row r="59" spans="3:20" x14ac:dyDescent="0.2">
      <c r="C59" s="84" t="s">
        <v>109</v>
      </c>
      <c r="G59" s="475" t="s">
        <v>92</v>
      </c>
      <c r="H59" s="475"/>
      <c r="I59" s="21"/>
      <c r="J59" s="21"/>
      <c r="K59" s="21"/>
    </row>
    <row r="61" spans="3:20" x14ac:dyDescent="0.2">
      <c r="C61" s="8"/>
      <c r="D61" s="96"/>
    </row>
    <row r="62" spans="3:20" x14ac:dyDescent="0.2">
      <c r="C62" s="7"/>
      <c r="D62" s="96">
        <f>D45</f>
        <v>61770116.089999989</v>
      </c>
      <c r="E62" s="97"/>
    </row>
    <row r="63" spans="3:20" x14ac:dyDescent="0.2">
      <c r="C63" s="7"/>
      <c r="D63" s="98" t="e">
        <f>#REF!</f>
        <v>#REF!</v>
      </c>
      <c r="E63" s="97"/>
    </row>
    <row r="64" spans="3:20" x14ac:dyDescent="0.2">
      <c r="D64" s="96" t="e">
        <f>D62-D63</f>
        <v>#REF!</v>
      </c>
      <c r="E64" s="6"/>
    </row>
  </sheetData>
  <mergeCells count="9">
    <mergeCell ref="P6:Q8"/>
    <mergeCell ref="E7:H7"/>
    <mergeCell ref="I7:M7"/>
    <mergeCell ref="G57:H57"/>
    <mergeCell ref="G59:H59"/>
    <mergeCell ref="A6:C8"/>
    <mergeCell ref="D6:D8"/>
    <mergeCell ref="E6:M6"/>
    <mergeCell ref="N6:O8"/>
  </mergeCells>
  <printOptions horizontalCentered="1"/>
  <pageMargins left="0.23622047244094499" right="0.23622047244094499" top="0.74803149606299202" bottom="0.74803149606299202" header="0.31496062992126" footer="0.31496062992126"/>
  <pageSetup paperSize="9" scale="34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X198"/>
  <sheetViews>
    <sheetView showGridLines="0" tabSelected="1" zoomScaleNormal="100" workbookViewId="0">
      <pane xSplit="8" ySplit="15" topLeftCell="I116" activePane="bottomRight" state="frozen"/>
      <selection pane="topRight" activeCell="I1" sqref="I1"/>
      <selection pane="bottomLeft" activeCell="A16" sqref="A16"/>
      <selection pane="bottomRight" activeCell="I119" sqref="I119"/>
    </sheetView>
  </sheetViews>
  <sheetFormatPr defaultColWidth="9.140625" defaultRowHeight="15.75" x14ac:dyDescent="0.25"/>
  <cols>
    <col min="1" max="1" width="2.28515625" style="284" customWidth="1"/>
    <col min="2" max="2" width="18.140625" style="280" customWidth="1"/>
    <col min="3" max="3" width="41" style="294" customWidth="1"/>
    <col min="4" max="6" width="22.140625" style="294" hidden="1" customWidth="1"/>
    <col min="7" max="7" width="33.7109375" style="145" customWidth="1"/>
    <col min="8" max="8" width="28.5703125" style="294" customWidth="1"/>
    <col min="9" max="9" width="27.42578125" style="284" customWidth="1"/>
    <col min="10" max="10" width="18.85546875" style="284" customWidth="1"/>
    <col min="11" max="11" width="17.140625" style="285" customWidth="1"/>
    <col min="12" max="12" width="17.140625" style="286" customWidth="1"/>
    <col min="13" max="13" width="51.85546875" style="284" bestFit="1" customWidth="1"/>
    <col min="14" max="14" width="17.5703125" style="284" customWidth="1"/>
    <col min="15" max="15" width="19" style="284" customWidth="1"/>
    <col min="16" max="16" width="18.85546875" style="284" customWidth="1"/>
    <col min="17" max="17" width="22.7109375" style="284" bestFit="1" customWidth="1"/>
    <col min="18" max="18" width="15.85546875" style="284" customWidth="1"/>
    <col min="19" max="19" width="16.28515625" style="284" customWidth="1"/>
    <col min="20" max="20" width="9.140625" style="284"/>
    <col min="21" max="21" width="23.5703125" style="284" bestFit="1" customWidth="1"/>
    <col min="22" max="23" width="23.140625" style="284" bestFit="1" customWidth="1"/>
    <col min="24" max="24" width="17" style="284" bestFit="1" customWidth="1"/>
    <col min="25" max="16384" width="9.140625" style="284"/>
  </cols>
  <sheetData>
    <row r="1" spans="1:22" s="289" customFormat="1" ht="31.15" customHeight="1" x14ac:dyDescent="0.25">
      <c r="A1" s="416" t="s">
        <v>439</v>
      </c>
      <c r="B1" s="417"/>
      <c r="C1" s="418"/>
      <c r="D1" s="418"/>
      <c r="E1" s="418"/>
      <c r="F1" s="418"/>
      <c r="G1" s="282"/>
      <c r="H1" s="287"/>
      <c r="K1" s="296"/>
      <c r="L1" s="297"/>
    </row>
    <row r="2" spans="1:22" s="289" customFormat="1" ht="15.6" customHeight="1" x14ac:dyDescent="0.25">
      <c r="A2" s="416" t="s">
        <v>473</v>
      </c>
      <c r="B2" s="417"/>
      <c r="C2" s="418"/>
      <c r="D2" s="418"/>
      <c r="E2" s="418"/>
      <c r="F2" s="418"/>
      <c r="G2" s="282"/>
      <c r="H2" s="287"/>
      <c r="K2" s="296"/>
      <c r="L2" s="297"/>
    </row>
    <row r="3" spans="1:22" s="289" customFormat="1" x14ac:dyDescent="0.25">
      <c r="A3" s="416" t="s">
        <v>460</v>
      </c>
      <c r="B3" s="417"/>
      <c r="C3" s="418"/>
      <c r="D3" s="418"/>
      <c r="E3" s="418"/>
      <c r="F3" s="418"/>
      <c r="G3" s="282"/>
      <c r="H3" s="307"/>
      <c r="I3" s="290"/>
      <c r="K3" s="296"/>
      <c r="L3" s="297"/>
    </row>
    <row r="4" spans="1:22" s="289" customFormat="1" x14ac:dyDescent="0.25">
      <c r="A4" s="427" t="s">
        <v>474</v>
      </c>
      <c r="B4" s="428"/>
      <c r="C4" s="429"/>
      <c r="D4" s="429"/>
      <c r="E4" s="429"/>
      <c r="F4" s="429"/>
      <c r="G4" s="430"/>
      <c r="H4" s="431"/>
      <c r="I4" s="432"/>
      <c r="J4" s="432"/>
      <c r="K4" s="433"/>
      <c r="L4" s="434"/>
      <c r="M4" s="435">
        <f>Q140-G139</f>
        <v>0</v>
      </c>
      <c r="N4" s="436"/>
      <c r="O4" s="436"/>
      <c r="P4" s="437"/>
      <c r="Q4" s="432"/>
      <c r="R4" s="432"/>
      <c r="S4" s="432"/>
    </row>
    <row r="5" spans="1:22" ht="16.149999999999999" hidden="1" customHeight="1" x14ac:dyDescent="0.25">
      <c r="A5" s="415"/>
      <c r="B5" s="419"/>
      <c r="C5" s="414"/>
      <c r="D5" s="420" t="s">
        <v>258</v>
      </c>
      <c r="E5" s="420" t="s">
        <v>257</v>
      </c>
      <c r="F5" s="420" t="s">
        <v>256</v>
      </c>
      <c r="G5" s="421"/>
      <c r="H5" s="422"/>
      <c r="I5" s="423"/>
      <c r="J5" s="423"/>
      <c r="K5" s="424"/>
      <c r="L5" s="425"/>
      <c r="M5" s="423"/>
      <c r="N5" s="423"/>
      <c r="O5" s="423"/>
      <c r="P5" s="423"/>
      <c r="Q5" s="423"/>
      <c r="R5" s="423"/>
      <c r="S5" s="426"/>
    </row>
    <row r="6" spans="1:22" ht="16.5" customHeight="1" x14ac:dyDescent="0.25">
      <c r="A6" s="457" t="s">
        <v>3</v>
      </c>
      <c r="B6" s="457"/>
      <c r="C6" s="457"/>
      <c r="D6" s="449"/>
      <c r="E6" s="449"/>
      <c r="F6" s="449"/>
      <c r="G6" s="458" t="s">
        <v>4</v>
      </c>
      <c r="H6" s="457" t="s">
        <v>5</v>
      </c>
      <c r="I6" s="457"/>
      <c r="J6" s="457"/>
      <c r="K6" s="457"/>
      <c r="L6" s="457"/>
      <c r="M6" s="457"/>
      <c r="N6" s="457"/>
      <c r="O6" s="457"/>
      <c r="P6" s="457"/>
      <c r="Q6" s="457"/>
      <c r="R6" s="490" t="s">
        <v>364</v>
      </c>
      <c r="S6" s="490"/>
    </row>
    <row r="7" spans="1:22" x14ac:dyDescent="0.25">
      <c r="A7" s="457"/>
      <c r="B7" s="457"/>
      <c r="C7" s="457"/>
      <c r="D7" s="449"/>
      <c r="E7" s="449"/>
      <c r="F7" s="449"/>
      <c r="G7" s="458"/>
      <c r="H7" s="457" t="s">
        <v>7</v>
      </c>
      <c r="I7" s="457"/>
      <c r="J7" s="457"/>
      <c r="K7" s="457"/>
      <c r="L7" s="449"/>
      <c r="M7" s="457" t="s">
        <v>8</v>
      </c>
      <c r="N7" s="457"/>
      <c r="O7" s="457"/>
      <c r="P7" s="457"/>
      <c r="Q7" s="457"/>
      <c r="R7" s="490"/>
      <c r="S7" s="490"/>
    </row>
    <row r="8" spans="1:22" s="306" customFormat="1" x14ac:dyDescent="0.25">
      <c r="A8" s="457"/>
      <c r="B8" s="457"/>
      <c r="C8" s="457"/>
      <c r="D8" s="449"/>
      <c r="E8" s="449"/>
      <c r="F8" s="449"/>
      <c r="G8" s="458"/>
      <c r="H8" s="451" t="s">
        <v>9</v>
      </c>
      <c r="I8" s="451" t="s">
        <v>10</v>
      </c>
      <c r="J8" s="451" t="s">
        <v>11</v>
      </c>
      <c r="K8" s="195" t="s">
        <v>12</v>
      </c>
      <c r="L8" s="195"/>
      <c r="M8" s="451" t="s">
        <v>9</v>
      </c>
      <c r="N8" s="451" t="s">
        <v>10</v>
      </c>
      <c r="O8" s="451" t="s">
        <v>11</v>
      </c>
      <c r="P8" s="451" t="s">
        <v>13</v>
      </c>
      <c r="Q8" s="451" t="s">
        <v>14</v>
      </c>
      <c r="R8" s="490"/>
      <c r="S8" s="490"/>
    </row>
    <row r="9" spans="1:22" ht="33" customHeight="1" x14ac:dyDescent="0.25">
      <c r="A9" s="491" t="s">
        <v>363</v>
      </c>
      <c r="B9" s="491"/>
      <c r="C9" s="491"/>
      <c r="D9" s="452"/>
      <c r="E9" s="452"/>
      <c r="F9" s="452"/>
      <c r="G9" s="442">
        <f>[29]FC1SGE!$L$27</f>
        <v>1540491671.3800001</v>
      </c>
      <c r="H9" s="110"/>
      <c r="I9" s="111"/>
      <c r="J9" s="111"/>
      <c r="K9" s="196"/>
      <c r="L9" s="218"/>
      <c r="M9" s="111"/>
      <c r="N9" s="111"/>
      <c r="O9" s="111"/>
      <c r="P9" s="111"/>
      <c r="Q9" s="111"/>
      <c r="R9" s="111"/>
      <c r="S9" s="111"/>
    </row>
    <row r="10" spans="1:22" x14ac:dyDescent="0.25">
      <c r="A10" s="111"/>
      <c r="B10" s="273"/>
      <c r="C10" s="110"/>
      <c r="D10" s="110"/>
      <c r="E10" s="110"/>
      <c r="F10" s="110"/>
      <c r="G10" s="114"/>
      <c r="H10" s="110"/>
      <c r="I10" s="111"/>
      <c r="J10" s="111"/>
      <c r="K10" s="196"/>
      <c r="L10" s="218"/>
      <c r="M10" s="114"/>
      <c r="N10" s="114"/>
      <c r="O10" s="114"/>
      <c r="P10" s="114"/>
      <c r="Q10" s="114"/>
      <c r="R10" s="114"/>
      <c r="S10" s="114"/>
      <c r="T10" s="145"/>
      <c r="U10" s="145"/>
      <c r="V10" s="145"/>
    </row>
    <row r="11" spans="1:22" s="289" customFormat="1" ht="15" hidden="1" customHeight="1" x14ac:dyDescent="0.25">
      <c r="A11" s="277"/>
      <c r="B11" s="449"/>
      <c r="C11" s="116" t="s">
        <v>16</v>
      </c>
      <c r="D11" s="116"/>
      <c r="E11" s="116"/>
      <c r="F11" s="116"/>
      <c r="G11" s="109">
        <f>SUM(G13:G14)</f>
        <v>0</v>
      </c>
      <c r="H11" s="117"/>
      <c r="I11" s="109">
        <v>0</v>
      </c>
      <c r="J11" s="109">
        <f>SUM(J13:J14)</f>
        <v>0</v>
      </c>
      <c r="K11" s="197">
        <f>+J11</f>
        <v>0</v>
      </c>
      <c r="L11" s="219"/>
      <c r="M11" s="109"/>
      <c r="N11" s="109"/>
      <c r="O11" s="109"/>
      <c r="P11" s="109">
        <f>SUM(P12:P13)</f>
        <v>0</v>
      </c>
      <c r="Q11" s="109">
        <f>SUM(Q13:Q14)</f>
        <v>0</v>
      </c>
      <c r="R11" s="109"/>
      <c r="S11" s="109"/>
      <c r="T11" s="282"/>
      <c r="U11" s="282"/>
      <c r="V11" s="282"/>
    </row>
    <row r="12" spans="1:22" s="318" customFormat="1" ht="15.6" hidden="1" customHeight="1" x14ac:dyDescent="0.25">
      <c r="A12" s="278"/>
      <c r="B12" s="271"/>
      <c r="C12" s="272" t="s">
        <v>17</v>
      </c>
      <c r="D12" s="272"/>
      <c r="E12" s="272"/>
      <c r="F12" s="272"/>
      <c r="G12" s="120"/>
      <c r="H12" s="121"/>
      <c r="I12" s="120"/>
      <c r="J12" s="120"/>
      <c r="K12" s="198"/>
      <c r="L12" s="220"/>
      <c r="M12" s="120"/>
      <c r="N12" s="120"/>
      <c r="O12" s="120"/>
      <c r="P12" s="120"/>
      <c r="Q12" s="120"/>
      <c r="R12" s="120"/>
      <c r="S12" s="120"/>
      <c r="T12" s="317"/>
      <c r="U12" s="317"/>
      <c r="V12" s="317"/>
    </row>
    <row r="13" spans="1:22" ht="15.6" hidden="1" customHeight="1" x14ac:dyDescent="0.25">
      <c r="A13" s="111"/>
      <c r="B13" s="273"/>
      <c r="C13" s="274" t="s">
        <v>18</v>
      </c>
      <c r="D13" s="274"/>
      <c r="E13" s="274"/>
      <c r="F13" s="274"/>
      <c r="G13" s="114"/>
      <c r="H13" s="125" t="s">
        <v>19</v>
      </c>
      <c r="I13" s="114">
        <v>0</v>
      </c>
      <c r="J13" s="114"/>
      <c r="K13" s="196">
        <f>J13</f>
        <v>0</v>
      </c>
      <c r="L13" s="218"/>
      <c r="M13" s="114" t="s">
        <v>20</v>
      </c>
      <c r="N13" s="114"/>
      <c r="O13" s="114"/>
      <c r="P13" s="114">
        <v>0</v>
      </c>
      <c r="Q13" s="114"/>
      <c r="R13" s="114"/>
      <c r="S13" s="114"/>
      <c r="T13" s="145"/>
      <c r="U13" s="145"/>
      <c r="V13" s="145"/>
    </row>
    <row r="14" spans="1:22" ht="15.6" hidden="1" customHeight="1" x14ac:dyDescent="0.25">
      <c r="A14" s="111"/>
      <c r="B14" s="273"/>
      <c r="C14" s="274" t="s">
        <v>21</v>
      </c>
      <c r="D14" s="274"/>
      <c r="E14" s="274"/>
      <c r="F14" s="274"/>
      <c r="G14" s="114"/>
      <c r="H14" s="125" t="s">
        <v>19</v>
      </c>
      <c r="I14" s="114"/>
      <c r="J14" s="114">
        <f>G14</f>
        <v>0</v>
      </c>
      <c r="K14" s="196">
        <f>J14</f>
        <v>0</v>
      </c>
      <c r="L14" s="218"/>
      <c r="M14" s="114" t="s">
        <v>22</v>
      </c>
      <c r="N14" s="114"/>
      <c r="O14" s="114"/>
      <c r="P14" s="114"/>
      <c r="Q14" s="114">
        <f>N14*-1</f>
        <v>0</v>
      </c>
      <c r="R14" s="114"/>
      <c r="S14" s="114"/>
      <c r="T14" s="145"/>
      <c r="U14" s="145"/>
      <c r="V14" s="145"/>
    </row>
    <row r="15" spans="1:22" s="289" customFormat="1" x14ac:dyDescent="0.25">
      <c r="A15" s="277"/>
      <c r="B15" s="449" t="s">
        <v>23</v>
      </c>
      <c r="C15" s="116"/>
      <c r="D15" s="116"/>
      <c r="E15" s="116"/>
      <c r="F15" s="116"/>
      <c r="G15" s="109">
        <f>SUM(G17:G133)</f>
        <v>-1419179775.7231667</v>
      </c>
      <c r="H15" s="117"/>
      <c r="I15" s="109">
        <f>SUM(I17:I129)</f>
        <v>1377618062.3891666</v>
      </c>
      <c r="J15" s="109">
        <f>SUM(J17:J129)</f>
        <v>-42490503.080000013</v>
      </c>
      <c r="K15" s="197">
        <f>SUM(K17:K133)</f>
        <v>-1419712848.6191666</v>
      </c>
      <c r="L15" s="219"/>
      <c r="M15" s="109"/>
      <c r="N15" s="109">
        <f>SUM(N17:N132)</f>
        <v>2720360.6399999922</v>
      </c>
      <c r="O15" s="109">
        <f>SUM(O17:O132)</f>
        <v>1420085136.2031667</v>
      </c>
      <c r="P15" s="109">
        <f>SUM(P17:P132)</f>
        <v>-1331276942.0031664</v>
      </c>
      <c r="Q15" s="109">
        <f>SUM(Q17:Q133)</f>
        <v>87902833.719999999</v>
      </c>
      <c r="R15" s="109"/>
      <c r="S15" s="109"/>
      <c r="T15" s="282"/>
      <c r="U15" s="282"/>
      <c r="V15" s="282"/>
    </row>
    <row r="16" spans="1:22" s="318" customFormat="1" ht="31.5" x14ac:dyDescent="0.25">
      <c r="A16" s="278"/>
      <c r="B16" s="271" t="s">
        <v>191</v>
      </c>
      <c r="C16" s="272" t="s">
        <v>24</v>
      </c>
      <c r="D16" s="272"/>
      <c r="E16" s="272"/>
      <c r="F16" s="272"/>
      <c r="G16" s="120"/>
      <c r="H16" s="121"/>
      <c r="I16" s="120"/>
      <c r="J16" s="120"/>
      <c r="K16" s="198"/>
      <c r="L16" s="221"/>
      <c r="M16" s="120"/>
      <c r="N16" s="120"/>
      <c r="O16" s="120"/>
      <c r="P16" s="120"/>
      <c r="Q16" s="120"/>
      <c r="R16" s="120"/>
      <c r="S16" s="120"/>
      <c r="T16" s="317"/>
      <c r="U16" s="317"/>
      <c r="V16" s="317"/>
    </row>
    <row r="17" spans="1:22" ht="31.5" x14ac:dyDescent="0.25">
      <c r="A17" s="111"/>
      <c r="B17" s="273">
        <v>5010102000</v>
      </c>
      <c r="C17" s="274" t="s">
        <v>26</v>
      </c>
      <c r="D17" s="275">
        <f>IFERROR(VLOOKUP(B17,'WORKING PAPER FC1'!$I$19:$J$31,2,FALSE),0)</f>
        <v>0</v>
      </c>
      <c r="E17" s="274"/>
      <c r="F17" s="275">
        <f>IFERROR(VLOOKUP(B17,'WORKING PAPER FC1'!$I$11:$J$12,2,FALSE),0)</f>
        <v>0</v>
      </c>
      <c r="G17" s="114">
        <f>-629238.42-50000+'WORKING PAPER FC1'!BD4+'WORKING PAPER FC1'!BP4</f>
        <v>-747982.63</v>
      </c>
      <c r="H17" s="274" t="s">
        <v>436</v>
      </c>
      <c r="I17" s="114">
        <f t="shared" ref="I17:I26" si="0">G17*-1</f>
        <v>747982.63</v>
      </c>
      <c r="J17" s="114"/>
      <c r="K17" s="196">
        <f t="shared" ref="K17:K21" si="1">G17</f>
        <v>-747982.63</v>
      </c>
      <c r="L17" s="222">
        <v>2010101000</v>
      </c>
      <c r="M17" s="114" t="s">
        <v>25</v>
      </c>
      <c r="N17" s="114"/>
      <c r="O17" s="114">
        <f>I17</f>
        <v>747982.63</v>
      </c>
      <c r="P17" s="114"/>
      <c r="Q17" s="114">
        <f t="shared" ref="Q17:Q29" si="2">O17</f>
        <v>747982.63</v>
      </c>
      <c r="R17" s="114"/>
      <c r="S17" s="114"/>
      <c r="T17" s="145"/>
      <c r="U17" s="145"/>
      <c r="V17" s="145"/>
    </row>
    <row r="18" spans="1:22" ht="31.5" hidden="1" x14ac:dyDescent="0.25">
      <c r="A18" s="111"/>
      <c r="B18" s="273">
        <v>5010102000</v>
      </c>
      <c r="C18" s="274" t="s">
        <v>26</v>
      </c>
      <c r="D18" s="275">
        <f>IFERROR(VLOOKUP(B18,'WORKING PAPER FC1'!$I$19:$J$31,2,FALSE),0)</f>
        <v>0</v>
      </c>
      <c r="E18" s="274"/>
      <c r="F18" s="275">
        <f>IFERROR(VLOOKUP(B18,'WORKING PAPER FC1'!$I$11:$J$12,2,FALSE),0)</f>
        <v>0</v>
      </c>
      <c r="G18" s="114"/>
      <c r="H18" s="274" t="s">
        <v>436</v>
      </c>
      <c r="I18" s="114">
        <f t="shared" si="0"/>
        <v>0</v>
      </c>
      <c r="J18" s="114"/>
      <c r="K18" s="196">
        <f t="shared" si="1"/>
        <v>0</v>
      </c>
      <c r="L18" s="222">
        <v>2020102001</v>
      </c>
      <c r="M18" s="114" t="s">
        <v>244</v>
      </c>
      <c r="N18" s="114"/>
      <c r="O18" s="114">
        <f t="shared" ref="O18:O79" si="3">I18</f>
        <v>0</v>
      </c>
      <c r="P18" s="114"/>
      <c r="Q18" s="114">
        <f t="shared" si="2"/>
        <v>0</v>
      </c>
      <c r="R18" s="114"/>
      <c r="S18" s="114"/>
      <c r="T18" s="145"/>
      <c r="U18" s="145"/>
      <c r="V18" s="145"/>
    </row>
    <row r="19" spans="1:22" ht="31.5" hidden="1" x14ac:dyDescent="0.25">
      <c r="A19" s="111"/>
      <c r="B19" s="273">
        <v>5010102000</v>
      </c>
      <c r="C19" s="274" t="s">
        <v>26</v>
      </c>
      <c r="D19" s="275">
        <f>IFERROR(VLOOKUP(B19,'WORKING PAPER FC1'!$I$19:$J$31,2,FALSE),0)</f>
        <v>0</v>
      </c>
      <c r="E19" s="274"/>
      <c r="F19" s="275">
        <f>IFERROR(VLOOKUP(B19,'WORKING PAPER FC1'!$I$11:$J$12,2,FALSE),0)</f>
        <v>0</v>
      </c>
      <c r="G19" s="114"/>
      <c r="H19" s="274" t="s">
        <v>436</v>
      </c>
      <c r="I19" s="114">
        <f t="shared" si="0"/>
        <v>0</v>
      </c>
      <c r="J19" s="114"/>
      <c r="K19" s="196">
        <f t="shared" si="1"/>
        <v>0</v>
      </c>
      <c r="L19" s="222">
        <v>2020104000</v>
      </c>
      <c r="M19" s="114" t="s">
        <v>190</v>
      </c>
      <c r="N19" s="114"/>
      <c r="O19" s="114">
        <f t="shared" si="3"/>
        <v>0</v>
      </c>
      <c r="P19" s="114"/>
      <c r="Q19" s="114">
        <f t="shared" si="2"/>
        <v>0</v>
      </c>
      <c r="R19" s="114"/>
      <c r="S19" s="114"/>
      <c r="T19" s="145"/>
      <c r="U19" s="145"/>
      <c r="V19" s="145"/>
    </row>
    <row r="20" spans="1:22" ht="31.5" hidden="1" x14ac:dyDescent="0.25">
      <c r="A20" s="111"/>
      <c r="B20" s="273">
        <v>5010102000</v>
      </c>
      <c r="C20" s="274" t="s">
        <v>26</v>
      </c>
      <c r="D20" s="275">
        <f>IFERROR(VLOOKUP(B20,'WORKING PAPER FC1'!$I$19:$J$31,2,FALSE),0)</f>
        <v>0</v>
      </c>
      <c r="E20" s="274"/>
      <c r="F20" s="275">
        <f>IFERROR(VLOOKUP(B20,'WORKING PAPER FC1'!$I$11:$J$12,2,FALSE),0)</f>
        <v>0</v>
      </c>
      <c r="G20" s="114"/>
      <c r="H20" s="274" t="s">
        <v>26</v>
      </c>
      <c r="I20" s="114">
        <f t="shared" si="0"/>
        <v>0</v>
      </c>
      <c r="J20" s="114"/>
      <c r="K20" s="196">
        <f t="shared" si="1"/>
        <v>0</v>
      </c>
      <c r="L20" s="222">
        <v>2020103001</v>
      </c>
      <c r="M20" s="114" t="s">
        <v>245</v>
      </c>
      <c r="N20" s="114"/>
      <c r="O20" s="114">
        <f t="shared" si="3"/>
        <v>0</v>
      </c>
      <c r="P20" s="114"/>
      <c r="Q20" s="114">
        <f t="shared" si="2"/>
        <v>0</v>
      </c>
      <c r="R20" s="114"/>
      <c r="S20" s="114"/>
      <c r="T20" s="145"/>
      <c r="U20" s="145"/>
      <c r="V20" s="145"/>
    </row>
    <row r="21" spans="1:22" ht="31.5" hidden="1" x14ac:dyDescent="0.25">
      <c r="A21" s="111"/>
      <c r="B21" s="273">
        <v>5010301000</v>
      </c>
      <c r="C21" s="274" t="s">
        <v>27</v>
      </c>
      <c r="D21" s="275">
        <f>IFERROR(VLOOKUP(B21,'WORKING PAPER FC1'!$I$19:$J$31,2,FALSE),0)</f>
        <v>0</v>
      </c>
      <c r="E21" s="274"/>
      <c r="F21" s="275">
        <f>IFERROR(VLOOKUP(B21,'WORKING PAPER FC1'!$I$11:$J$12,2,FALSE),0)</f>
        <v>0</v>
      </c>
      <c r="G21" s="114"/>
      <c r="H21" s="274" t="s">
        <v>27</v>
      </c>
      <c r="I21" s="114">
        <f t="shared" si="0"/>
        <v>0</v>
      </c>
      <c r="J21" s="114"/>
      <c r="K21" s="196">
        <f t="shared" si="1"/>
        <v>0</v>
      </c>
      <c r="L21" s="222">
        <v>2010101000</v>
      </c>
      <c r="M21" s="114" t="s">
        <v>25</v>
      </c>
      <c r="N21" s="114"/>
      <c r="O21" s="114">
        <f t="shared" si="3"/>
        <v>0</v>
      </c>
      <c r="P21" s="114"/>
      <c r="Q21" s="114">
        <f t="shared" si="2"/>
        <v>0</v>
      </c>
      <c r="R21" s="114"/>
      <c r="S21" s="114"/>
      <c r="T21" s="145"/>
      <c r="U21" s="145"/>
      <c r="V21" s="145"/>
    </row>
    <row r="22" spans="1:22" x14ac:dyDescent="0.25">
      <c r="A22" s="111"/>
      <c r="B22" s="273">
        <v>5050104001</v>
      </c>
      <c r="C22" s="274" t="s">
        <v>178</v>
      </c>
      <c r="D22" s="275"/>
      <c r="E22" s="274"/>
      <c r="F22" s="275"/>
      <c r="G22" s="114">
        <v>-4077156.99</v>
      </c>
      <c r="H22" s="274" t="s">
        <v>178</v>
      </c>
      <c r="I22" s="114">
        <f>G22*-1</f>
        <v>4077156.99</v>
      </c>
      <c r="J22" s="114"/>
      <c r="K22" s="196">
        <f>G22</f>
        <v>-4077156.99</v>
      </c>
      <c r="L22" s="222">
        <v>1060401100</v>
      </c>
      <c r="M22" s="114" t="s">
        <v>396</v>
      </c>
      <c r="N22" s="114"/>
      <c r="O22" s="114">
        <f t="shared" si="3"/>
        <v>4077156.99</v>
      </c>
      <c r="P22" s="114">
        <f>G22</f>
        <v>-4077156.99</v>
      </c>
      <c r="Q22" s="114"/>
      <c r="R22" s="114"/>
      <c r="S22" s="114"/>
      <c r="T22" s="145"/>
      <c r="U22" s="145"/>
      <c r="V22" s="145"/>
    </row>
    <row r="23" spans="1:22" x14ac:dyDescent="0.25">
      <c r="A23" s="111"/>
      <c r="B23" s="273">
        <v>3010101000</v>
      </c>
      <c r="C23" s="274" t="s">
        <v>397</v>
      </c>
      <c r="D23" s="275"/>
      <c r="E23" s="274"/>
      <c r="F23" s="275"/>
      <c r="G23" s="114">
        <v>-502847.38400000002</v>
      </c>
      <c r="H23" s="274"/>
      <c r="I23" s="114"/>
      <c r="J23" s="114"/>
      <c r="K23" s="196"/>
      <c r="L23" s="222">
        <v>1060401100</v>
      </c>
      <c r="M23" s="114" t="s">
        <v>396</v>
      </c>
      <c r="N23" s="114"/>
      <c r="O23" s="114">
        <f>G23*-1</f>
        <v>502847.38400000002</v>
      </c>
      <c r="P23" s="114">
        <f>G23</f>
        <v>-502847.38400000002</v>
      </c>
      <c r="Q23" s="114"/>
      <c r="R23" s="114"/>
      <c r="S23" s="114">
        <v>-502847.38400000002</v>
      </c>
      <c r="T23" s="145"/>
      <c r="U23" s="145"/>
      <c r="V23" s="145"/>
    </row>
    <row r="24" spans="1:22" x14ac:dyDescent="0.25">
      <c r="A24" s="111"/>
      <c r="B24" s="273">
        <v>3010101000</v>
      </c>
      <c r="C24" s="274" t="s">
        <v>397</v>
      </c>
      <c r="D24" s="275"/>
      <c r="E24" s="274"/>
      <c r="F24" s="275"/>
      <c r="G24" s="114">
        <v>-5313873</v>
      </c>
      <c r="H24" s="274"/>
      <c r="I24" s="114"/>
      <c r="J24" s="114"/>
      <c r="K24" s="196"/>
      <c r="L24" s="222">
        <v>1069803000</v>
      </c>
      <c r="M24" s="114" t="s">
        <v>398</v>
      </c>
      <c r="N24" s="114"/>
      <c r="O24" s="114">
        <f>G24*-1</f>
        <v>5313873</v>
      </c>
      <c r="P24" s="114">
        <f>G24</f>
        <v>-5313873</v>
      </c>
      <c r="Q24" s="114"/>
      <c r="R24" s="114"/>
      <c r="S24" s="114">
        <v>-5313873</v>
      </c>
      <c r="T24" s="145"/>
      <c r="U24" s="145"/>
      <c r="V24" s="145"/>
    </row>
    <row r="25" spans="1:22" x14ac:dyDescent="0.25">
      <c r="A25" s="111"/>
      <c r="B25" s="273">
        <v>5020502001</v>
      </c>
      <c r="C25" s="274" t="s">
        <v>56</v>
      </c>
      <c r="D25" s="275">
        <f>IFERROR(VLOOKUP(B25,'WORKING PAPER FC1'!$I$19:$J$31,2,FALSE),0)</f>
        <v>0</v>
      </c>
      <c r="E25" s="274"/>
      <c r="F25" s="275">
        <f>IFERROR(VLOOKUP(B25,'WORKING PAPER FC1'!$I$11:$J$12,2,FALSE),0)</f>
        <v>0</v>
      </c>
      <c r="G25" s="114">
        <v>-4398.93</v>
      </c>
      <c r="H25" s="274" t="s">
        <v>56</v>
      </c>
      <c r="I25" s="114">
        <f t="shared" si="0"/>
        <v>4398.93</v>
      </c>
      <c r="J25" s="114"/>
      <c r="K25" s="196">
        <f>-I25-J25</f>
        <v>-4398.93</v>
      </c>
      <c r="L25" s="222">
        <v>2010101000</v>
      </c>
      <c r="M25" s="114" t="s">
        <v>25</v>
      </c>
      <c r="N25" s="114">
        <f>J25</f>
        <v>0</v>
      </c>
      <c r="O25" s="114">
        <f>I25</f>
        <v>4398.93</v>
      </c>
      <c r="P25" s="114"/>
      <c r="Q25" s="114">
        <f>N25+O25</f>
        <v>4398.93</v>
      </c>
      <c r="R25" s="114"/>
      <c r="S25" s="114"/>
      <c r="T25" s="145"/>
      <c r="U25" s="145"/>
      <c r="V25" s="145"/>
    </row>
    <row r="26" spans="1:22" x14ac:dyDescent="0.25">
      <c r="A26" s="111"/>
      <c r="B26" s="273">
        <v>5020101000</v>
      </c>
      <c r="C26" s="274" t="s">
        <v>28</v>
      </c>
      <c r="D26" s="275">
        <f>IFERROR(VLOOKUP(B26,'WORKING PAPER FC1'!$I$19:$J$31,2,FALSE),0)</f>
        <v>0</v>
      </c>
      <c r="E26" s="274"/>
      <c r="F26" s="275">
        <f>IFERROR(VLOOKUP(B26,'WORKING PAPER FC1'!$I$11:$J$12,2,FALSE),0)</f>
        <v>0</v>
      </c>
      <c r="G26" s="114">
        <v>-3782106.6700000004</v>
      </c>
      <c r="H26" s="110" t="s">
        <v>28</v>
      </c>
      <c r="I26" s="114">
        <f t="shared" si="0"/>
        <v>3782106.6700000004</v>
      </c>
      <c r="J26" s="114"/>
      <c r="K26" s="196">
        <f>-I26-J26</f>
        <v>-3782106.6700000004</v>
      </c>
      <c r="L26" s="222">
        <v>2010101000</v>
      </c>
      <c r="M26" s="114" t="s">
        <v>25</v>
      </c>
      <c r="N26" s="114">
        <f>J26</f>
        <v>0</v>
      </c>
      <c r="O26" s="114">
        <f>I26</f>
        <v>3782106.6700000004</v>
      </c>
      <c r="P26" s="114"/>
      <c r="Q26" s="114">
        <f>N26+O26</f>
        <v>3782106.6700000004</v>
      </c>
      <c r="R26" s="114"/>
      <c r="S26" s="114"/>
      <c r="T26" s="145"/>
      <c r="U26" s="145"/>
      <c r="V26" s="145"/>
    </row>
    <row r="27" spans="1:22" x14ac:dyDescent="0.25">
      <c r="A27" s="111"/>
      <c r="B27" s="273">
        <v>5020201002</v>
      </c>
      <c r="C27" s="274" t="s">
        <v>29</v>
      </c>
      <c r="D27" s="275">
        <f>IFERROR(VLOOKUP(B27,'WORKING PAPER FC1'!$I$19:$J$31,2,FALSE),0)</f>
        <v>0</v>
      </c>
      <c r="E27" s="274"/>
      <c r="F27" s="275">
        <f>IFERROR(VLOOKUP(B27,'WORKING PAPER FC1'!$I$11:$J$12,2,FALSE),0)</f>
        <v>0</v>
      </c>
      <c r="G27" s="114">
        <f>-14361245.79-94800+'WORKING PAPER FC1'!BD5+'[30]Conso-BOAS 2024'!$D$40+'[30]Conso-BOAS 2024'!$D$61</f>
        <v>-23888225.789999999</v>
      </c>
      <c r="H27" s="110" t="s">
        <v>29</v>
      </c>
      <c r="I27" s="114">
        <f t="shared" ref="I27:I79" si="4">G27*-1-J27</f>
        <v>23888225.789999999</v>
      </c>
      <c r="J27" s="114"/>
      <c r="K27" s="196">
        <f t="shared" ref="K27:K53" si="5">G27</f>
        <v>-23888225.789999999</v>
      </c>
      <c r="L27" s="222">
        <v>2010101000</v>
      </c>
      <c r="M27" s="114" t="s">
        <v>25</v>
      </c>
      <c r="N27" s="114"/>
      <c r="O27" s="114">
        <f t="shared" si="3"/>
        <v>23888225.789999999</v>
      </c>
      <c r="P27" s="114"/>
      <c r="Q27" s="114">
        <f t="shared" si="2"/>
        <v>23888225.789999999</v>
      </c>
      <c r="R27" s="114"/>
      <c r="S27" s="114"/>
      <c r="T27" s="145"/>
      <c r="U27" s="145"/>
      <c r="V27" s="145"/>
    </row>
    <row r="28" spans="1:22" x14ac:dyDescent="0.25">
      <c r="A28" s="111"/>
      <c r="B28" s="273">
        <v>5021202000</v>
      </c>
      <c r="C28" s="274" t="s">
        <v>202</v>
      </c>
      <c r="D28" s="275">
        <f>IFERROR(VLOOKUP(B28,'WORKING PAPER FC1'!$I$19:$J$31,2,FALSE),0)</f>
        <v>0</v>
      </c>
      <c r="E28" s="274"/>
      <c r="F28" s="275">
        <f>IFERROR(VLOOKUP(B28,'WORKING PAPER FC1'!$I$11:$J$12,2,FALSE),0)</f>
        <v>0</v>
      </c>
      <c r="G28" s="114">
        <v>-223988.21</v>
      </c>
      <c r="H28" s="274" t="s">
        <v>202</v>
      </c>
      <c r="I28" s="114">
        <f t="shared" si="4"/>
        <v>223988.21</v>
      </c>
      <c r="J28" s="114"/>
      <c r="K28" s="196">
        <f>G28</f>
        <v>-223988.21</v>
      </c>
      <c r="L28" s="222">
        <v>2010101000</v>
      </c>
      <c r="M28" s="114" t="s">
        <v>25</v>
      </c>
      <c r="N28" s="114"/>
      <c r="O28" s="114">
        <f t="shared" si="3"/>
        <v>223988.21</v>
      </c>
      <c r="P28" s="114"/>
      <c r="Q28" s="114">
        <f t="shared" si="2"/>
        <v>223988.21</v>
      </c>
      <c r="R28" s="114"/>
      <c r="S28" s="114"/>
      <c r="T28" s="145"/>
      <c r="U28" s="145"/>
      <c r="V28" s="145"/>
    </row>
    <row r="29" spans="1:22" x14ac:dyDescent="0.25">
      <c r="A29" s="111"/>
      <c r="B29" s="273">
        <v>5021203000</v>
      </c>
      <c r="C29" s="274" t="s">
        <v>46</v>
      </c>
      <c r="D29" s="275">
        <f>IFERROR(VLOOKUP(B29,'WORKING PAPER FC1'!$I$19:$J$31,2,FALSE),0)</f>
        <v>0</v>
      </c>
      <c r="E29" s="274"/>
      <c r="F29" s="275">
        <f>IFERROR(VLOOKUP(B29,'WORKING PAPER FC1'!$I$11:$J$12,2,FALSE),0)</f>
        <v>0</v>
      </c>
      <c r="G29" s="114">
        <v>-2198453.04</v>
      </c>
      <c r="H29" s="274" t="s">
        <v>46</v>
      </c>
      <c r="I29" s="114">
        <f t="shared" si="4"/>
        <v>2198453.04</v>
      </c>
      <c r="J29" s="114"/>
      <c r="K29" s="196">
        <f t="shared" si="5"/>
        <v>-2198453.04</v>
      </c>
      <c r="L29" s="222">
        <v>2010101000</v>
      </c>
      <c r="M29" s="114" t="s">
        <v>25</v>
      </c>
      <c r="N29" s="114"/>
      <c r="O29" s="114">
        <f t="shared" si="3"/>
        <v>2198453.04</v>
      </c>
      <c r="P29" s="114"/>
      <c r="Q29" s="114">
        <f t="shared" si="2"/>
        <v>2198453.04</v>
      </c>
      <c r="R29" s="114"/>
      <c r="S29" s="114"/>
      <c r="T29" s="145"/>
      <c r="U29" s="145"/>
      <c r="V29" s="145"/>
    </row>
    <row r="30" spans="1:22" x14ac:dyDescent="0.25">
      <c r="A30" s="111"/>
      <c r="B30" s="273">
        <v>5021499000</v>
      </c>
      <c r="C30" s="274" t="s">
        <v>34</v>
      </c>
      <c r="D30" s="275">
        <f>IFERROR(VLOOKUP(B30,'WORKING PAPER FC1'!$I$19:$J$31,2,FALSE),0)</f>
        <v>0</v>
      </c>
      <c r="E30" s="274"/>
      <c r="F30" s="275">
        <v>0</v>
      </c>
      <c r="G30" s="114">
        <f>-18919917.7+'WORKING PAPER FC1'!BP13</f>
        <v>-17774070.719999999</v>
      </c>
      <c r="H30" s="274" t="s">
        <v>34</v>
      </c>
      <c r="I30" s="114">
        <f t="shared" si="4"/>
        <v>17774070.719999999</v>
      </c>
      <c r="J30" s="114"/>
      <c r="K30" s="196">
        <f t="shared" si="5"/>
        <v>-17774070.719999999</v>
      </c>
      <c r="L30" s="222">
        <v>2010101000</v>
      </c>
      <c r="M30" s="114" t="s">
        <v>25</v>
      </c>
      <c r="N30" s="114"/>
      <c r="O30" s="114">
        <f t="shared" si="3"/>
        <v>17774070.719999999</v>
      </c>
      <c r="P30" s="114"/>
      <c r="Q30" s="114">
        <f>O30</f>
        <v>17774070.719999999</v>
      </c>
      <c r="R30" s="114"/>
      <c r="S30" s="114"/>
      <c r="T30" s="145"/>
      <c r="U30" s="145"/>
      <c r="V30" s="145"/>
    </row>
    <row r="31" spans="1:22" x14ac:dyDescent="0.25">
      <c r="A31" s="111"/>
      <c r="B31" s="273">
        <v>5020501000</v>
      </c>
      <c r="C31" s="274" t="s">
        <v>193</v>
      </c>
      <c r="D31" s="275">
        <f>IFERROR(VLOOKUP(B31,'WORKING PAPER FC1'!$I$19:$J$31,2,FALSE),0)</f>
        <v>0</v>
      </c>
      <c r="E31" s="274"/>
      <c r="F31" s="275">
        <f>IFERROR(VLOOKUP(B31,'WORKING PAPER FC1'!$I$11:$J$12,2,FALSE),0)</f>
        <v>0</v>
      </c>
      <c r="G31" s="114">
        <v>-61395</v>
      </c>
      <c r="H31" s="274" t="s">
        <v>193</v>
      </c>
      <c r="I31" s="114">
        <f t="shared" si="4"/>
        <v>61395</v>
      </c>
      <c r="J31" s="114"/>
      <c r="K31" s="196">
        <f>G31</f>
        <v>-61395</v>
      </c>
      <c r="L31" s="222">
        <v>2010101000</v>
      </c>
      <c r="M31" s="114" t="s">
        <v>25</v>
      </c>
      <c r="N31" s="114"/>
      <c r="O31" s="114">
        <f t="shared" si="3"/>
        <v>61395</v>
      </c>
      <c r="P31" s="114">
        <f>O31*-1</f>
        <v>-61395</v>
      </c>
      <c r="Q31" s="114"/>
      <c r="R31" s="114"/>
      <c r="S31" s="114"/>
      <c r="T31" s="145"/>
      <c r="U31" s="145"/>
      <c r="V31" s="145"/>
    </row>
    <row r="32" spans="1:22" ht="31.5" hidden="1" x14ac:dyDescent="0.25">
      <c r="A32" s="111"/>
      <c r="B32" s="273">
        <v>5020399000</v>
      </c>
      <c r="C32" s="274" t="s">
        <v>33</v>
      </c>
      <c r="D32" s="275"/>
      <c r="E32" s="274"/>
      <c r="F32" s="275">
        <f>IFERROR(VLOOKUP(B32,'WORKING PAPER FC1'!$I$11:$J$12,2,FALSE),0)</f>
        <v>0</v>
      </c>
      <c r="G32" s="114"/>
      <c r="H32" s="274" t="s">
        <v>33</v>
      </c>
      <c r="I32" s="114">
        <f t="shared" si="4"/>
        <v>0</v>
      </c>
      <c r="J32" s="114"/>
      <c r="K32" s="196">
        <f>G32</f>
        <v>0</v>
      </c>
      <c r="L32" s="222">
        <v>1010102000</v>
      </c>
      <c r="M32" s="114" t="s">
        <v>64</v>
      </c>
      <c r="N32" s="114"/>
      <c r="O32" s="114">
        <f t="shared" si="3"/>
        <v>0</v>
      </c>
      <c r="P32" s="114">
        <f>O32*-1</f>
        <v>0</v>
      </c>
      <c r="Q32" s="114"/>
      <c r="R32" s="114"/>
      <c r="S32" s="114"/>
      <c r="T32" s="145"/>
      <c r="U32" s="145"/>
      <c r="V32" s="145"/>
    </row>
    <row r="33" spans="1:22" x14ac:dyDescent="0.25">
      <c r="A33" s="111"/>
      <c r="B33" s="273">
        <v>5020301002</v>
      </c>
      <c r="C33" s="274" t="s">
        <v>30</v>
      </c>
      <c r="D33" s="275">
        <f>IFERROR(VLOOKUP(B33,'WORKING PAPER FC1'!$I$19:$J$31,2,FALSE),0)</f>
        <v>0</v>
      </c>
      <c r="E33" s="274"/>
      <c r="F33" s="275">
        <f>IFERROR(VLOOKUP(B33,'WORKING PAPER FC1'!$I$11:$J$12,2,FALSE),0)</f>
        <v>0</v>
      </c>
      <c r="G33" s="114">
        <f>-82672.34-2417441.01</f>
        <v>-2500113.3499999996</v>
      </c>
      <c r="H33" s="274" t="s">
        <v>30</v>
      </c>
      <c r="I33" s="114">
        <f t="shared" si="4"/>
        <v>2500113.3499999996</v>
      </c>
      <c r="J33" s="114"/>
      <c r="K33" s="196">
        <f>-I33-J33</f>
        <v>-2500113.3499999996</v>
      </c>
      <c r="L33" s="222">
        <v>2010101000</v>
      </c>
      <c r="M33" s="114" t="s">
        <v>25</v>
      </c>
      <c r="N33" s="114">
        <f>J33</f>
        <v>0</v>
      </c>
      <c r="O33" s="114">
        <f>I33</f>
        <v>2500113.3499999996</v>
      </c>
      <c r="P33" s="114"/>
      <c r="Q33" s="114">
        <f>N33+O33</f>
        <v>2500113.3499999996</v>
      </c>
      <c r="R33" s="114"/>
      <c r="S33" s="114"/>
      <c r="T33" s="145"/>
      <c r="U33" s="145"/>
      <c r="V33" s="145"/>
    </row>
    <row r="34" spans="1:22" x14ac:dyDescent="0.25">
      <c r="A34" s="111"/>
      <c r="B34" s="273">
        <v>5020301002</v>
      </c>
      <c r="C34" s="274" t="s">
        <v>30</v>
      </c>
      <c r="D34" s="275"/>
      <c r="E34" s="274"/>
      <c r="F34" s="275"/>
      <c r="G34" s="114">
        <f>-5989394.29+'WORKING PAPER FC1'!AV10+2417441.01</f>
        <v>-7050577.1300000008</v>
      </c>
      <c r="H34" s="274" t="s">
        <v>30</v>
      </c>
      <c r="I34" s="114">
        <f t="shared" si="4"/>
        <v>7050577.1300000008</v>
      </c>
      <c r="J34" s="114"/>
      <c r="K34" s="196">
        <f>-I34-J34</f>
        <v>-7050577.1300000008</v>
      </c>
      <c r="L34" s="222">
        <v>1040401000</v>
      </c>
      <c r="M34" s="114" t="s">
        <v>269</v>
      </c>
      <c r="N34" s="114"/>
      <c r="O34" s="114">
        <f>I34</f>
        <v>7050577.1300000008</v>
      </c>
      <c r="P34" s="114">
        <f>O34*-1</f>
        <v>-7050577.1300000008</v>
      </c>
      <c r="Q34" s="114"/>
      <c r="R34" s="114"/>
      <c r="S34" s="114"/>
      <c r="T34" s="145"/>
      <c r="U34" s="145"/>
      <c r="V34" s="145"/>
    </row>
    <row r="35" spans="1:22" ht="31.5" x14ac:dyDescent="0.25">
      <c r="A35" s="111"/>
      <c r="B35" s="273">
        <v>5020399000</v>
      </c>
      <c r="C35" s="274" t="s">
        <v>249</v>
      </c>
      <c r="D35" s="275">
        <f>IFERROR(VLOOKUP(B35,'WORKING PAPER FC1'!$I$19:$J$31,2,FALSE),0)</f>
        <v>0</v>
      </c>
      <c r="E35" s="274"/>
      <c r="F35" s="275">
        <f>IFERROR(VLOOKUP(B35,'WORKING PAPER FC1'!$I$11:$J$12,2,FALSE),0)</f>
        <v>0</v>
      </c>
      <c r="G35" s="114">
        <v>-490871356.08999991</v>
      </c>
      <c r="H35" s="274" t="s">
        <v>249</v>
      </c>
      <c r="I35" s="114">
        <f t="shared" si="4"/>
        <v>490871356.08999991</v>
      </c>
      <c r="J35" s="114"/>
      <c r="K35" s="196">
        <f>-I35-J35</f>
        <v>-490871356.08999991</v>
      </c>
      <c r="L35" s="222">
        <v>1040299000</v>
      </c>
      <c r="M35" s="114" t="s">
        <v>35</v>
      </c>
      <c r="N35" s="114">
        <f>J35</f>
        <v>0</v>
      </c>
      <c r="O35" s="114">
        <f>I35</f>
        <v>490871356.08999991</v>
      </c>
      <c r="P35" s="114">
        <f>(N35+O35)*-1</f>
        <v>-490871356.08999991</v>
      </c>
      <c r="Q35" s="114"/>
      <c r="R35" s="114"/>
      <c r="S35" s="114"/>
      <c r="T35" s="145"/>
      <c r="U35" s="380"/>
      <c r="V35" s="282"/>
    </row>
    <row r="36" spans="1:22" x14ac:dyDescent="0.25">
      <c r="A36" s="111"/>
      <c r="B36" s="273">
        <v>5020306000</v>
      </c>
      <c r="C36" s="274" t="s">
        <v>209</v>
      </c>
      <c r="D36" s="275">
        <f>IFERROR(VLOOKUP(B36,'WORKING PAPER FC1'!$I$19:$J$31,2,FALSE),0)</f>
        <v>0</v>
      </c>
      <c r="E36" s="274"/>
      <c r="F36" s="275">
        <f>IFERROR(VLOOKUP(B36,'WORKING PAPER FC1'!$I$11:$J$12,2,FALSE),0)</f>
        <v>0</v>
      </c>
      <c r="G36" s="114">
        <f>-268816271.59+'WORKING PAPER FC1'!AV7+'WORKING PAPER FC1'!AZ19+'WORKING PAPER FC1'!BD12+'WORKING PAPER FC1'!BP20</f>
        <v>-274599996.58999997</v>
      </c>
      <c r="H36" s="274" t="s">
        <v>209</v>
      </c>
      <c r="I36" s="114">
        <f t="shared" si="4"/>
        <v>274599996.58999997</v>
      </c>
      <c r="J36" s="114"/>
      <c r="K36" s="196">
        <f>I36*-1</f>
        <v>-274599996.58999997</v>
      </c>
      <c r="L36" s="222">
        <v>1040202000</v>
      </c>
      <c r="M36" s="114" t="s">
        <v>36</v>
      </c>
      <c r="N36" s="114"/>
      <c r="O36" s="114">
        <f>G36*-1</f>
        <v>274599996.58999997</v>
      </c>
      <c r="P36" s="114">
        <f>(N36+O36)*-1</f>
        <v>-274599996.58999997</v>
      </c>
      <c r="Q36" s="114"/>
      <c r="R36" s="114"/>
      <c r="S36" s="114"/>
      <c r="T36" s="145"/>
      <c r="U36" s="145"/>
      <c r="V36" s="145"/>
    </row>
    <row r="37" spans="1:22" hidden="1" x14ac:dyDescent="0.25">
      <c r="A37" s="111"/>
      <c r="B37" s="273">
        <v>5021499000</v>
      </c>
      <c r="C37" s="274" t="s">
        <v>34</v>
      </c>
      <c r="D37" s="275">
        <f>IFERROR(VLOOKUP(B37,'WORKING PAPER FC1'!$I$19:$J$31,2,FALSE),0)</f>
        <v>0</v>
      </c>
      <c r="E37" s="274"/>
      <c r="F37" s="275">
        <f>IFERROR(VLOOKUP(B37,'WORKING PAPER FC1'!$I$11:$J$12,2,FALSE),0)</f>
        <v>0</v>
      </c>
      <c r="G37" s="114"/>
      <c r="H37" s="274" t="s">
        <v>34</v>
      </c>
      <c r="I37" s="114">
        <f t="shared" si="4"/>
        <v>0</v>
      </c>
      <c r="J37" s="114"/>
      <c r="K37" s="196">
        <f t="shared" si="5"/>
        <v>0</v>
      </c>
      <c r="L37" s="222">
        <v>2010101000</v>
      </c>
      <c r="M37" s="114" t="s">
        <v>25</v>
      </c>
      <c r="N37" s="114"/>
      <c r="O37" s="114">
        <f t="shared" si="3"/>
        <v>0</v>
      </c>
      <c r="P37" s="114"/>
      <c r="Q37" s="114">
        <f t="shared" ref="Q37:Q43" si="6">O37</f>
        <v>0</v>
      </c>
      <c r="R37" s="114"/>
      <c r="S37" s="114"/>
      <c r="T37" s="145"/>
      <c r="U37" s="145"/>
      <c r="V37" s="145"/>
    </row>
    <row r="38" spans="1:22" x14ac:dyDescent="0.25">
      <c r="A38" s="111"/>
      <c r="B38" s="273">
        <v>5021503000</v>
      </c>
      <c r="C38" s="274" t="s">
        <v>40</v>
      </c>
      <c r="D38" s="275">
        <f>IFERROR(VLOOKUP(B38,'WORKING PAPER FC1'!$I$19:$J$31,2,FALSE),0)</f>
        <v>0</v>
      </c>
      <c r="E38" s="274"/>
      <c r="F38" s="275">
        <f>IFERROR(VLOOKUP(B38,'WORKING PAPER FC1'!$I$11:$J$12,2,FALSE),0)</f>
        <v>0</v>
      </c>
      <c r="G38" s="114">
        <v>-390088.68916663527</v>
      </c>
      <c r="H38" s="274" t="s">
        <v>40</v>
      </c>
      <c r="I38" s="114">
        <f t="shared" si="4"/>
        <v>390088.68916663527</v>
      </c>
      <c r="J38" s="114"/>
      <c r="K38" s="196">
        <f t="shared" si="5"/>
        <v>-390088.68916663527</v>
      </c>
      <c r="L38" s="222">
        <v>1990205000</v>
      </c>
      <c r="M38" s="114" t="s">
        <v>356</v>
      </c>
      <c r="N38" s="114"/>
      <c r="O38" s="114">
        <f t="shared" si="3"/>
        <v>390088.68916663527</v>
      </c>
      <c r="P38" s="114">
        <f>(N38+O38)*-1</f>
        <v>-390088.68916663527</v>
      </c>
      <c r="Q38" s="114"/>
      <c r="R38" s="114"/>
      <c r="S38" s="114"/>
      <c r="T38" s="145"/>
      <c r="U38" s="145"/>
      <c r="V38" s="145"/>
    </row>
    <row r="39" spans="1:22" x14ac:dyDescent="0.25">
      <c r="A39" s="111"/>
      <c r="B39" s="273">
        <v>5020402000</v>
      </c>
      <c r="C39" s="274" t="s">
        <v>39</v>
      </c>
      <c r="D39" s="275">
        <f>IFERROR(VLOOKUP(B39,'WORKING PAPER FC1'!$I$19:$J$31,2,FALSE),0)</f>
        <v>0</v>
      </c>
      <c r="E39" s="274"/>
      <c r="F39" s="275">
        <f>IFERROR(VLOOKUP(B39,'WORKING PAPER FC1'!$I$11:$J$12,2,FALSE),0)</f>
        <v>0</v>
      </c>
      <c r="G39" s="114">
        <v>-55368.6</v>
      </c>
      <c r="H39" s="110" t="s">
        <v>39</v>
      </c>
      <c r="I39" s="114">
        <f t="shared" si="4"/>
        <v>55368.6</v>
      </c>
      <c r="J39" s="114"/>
      <c r="K39" s="196">
        <f t="shared" si="5"/>
        <v>-55368.6</v>
      </c>
      <c r="L39" s="222">
        <v>2010101000</v>
      </c>
      <c r="M39" s="114" t="s">
        <v>25</v>
      </c>
      <c r="N39" s="114"/>
      <c r="O39" s="114">
        <f t="shared" si="3"/>
        <v>55368.6</v>
      </c>
      <c r="P39" s="114"/>
      <c r="Q39" s="114">
        <f t="shared" si="6"/>
        <v>55368.6</v>
      </c>
      <c r="R39" s="114"/>
      <c r="S39" s="114"/>
      <c r="T39" s="145"/>
      <c r="U39" s="145"/>
      <c r="V39" s="145"/>
    </row>
    <row r="40" spans="1:22" ht="15" hidden="1" customHeight="1" x14ac:dyDescent="0.25">
      <c r="A40" s="111"/>
      <c r="B40" s="273">
        <v>5020602000</v>
      </c>
      <c r="C40" s="274" t="s">
        <v>204</v>
      </c>
      <c r="D40" s="275">
        <f>IFERROR(VLOOKUP(B40,'WORKING PAPER FC1'!$I$19:$J$31,2,FALSE),0)</f>
        <v>0</v>
      </c>
      <c r="E40" s="274"/>
      <c r="F40" s="275">
        <f>IFERROR(VLOOKUP(B40,'WORKING PAPER FC1'!$I$11:$J$12,2,FALSE),0)</f>
        <v>0</v>
      </c>
      <c r="G40" s="114"/>
      <c r="H40" s="274" t="s">
        <v>204</v>
      </c>
      <c r="I40" s="114">
        <f t="shared" si="4"/>
        <v>0</v>
      </c>
      <c r="J40" s="114"/>
      <c r="K40" s="196">
        <f t="shared" si="5"/>
        <v>0</v>
      </c>
      <c r="L40" s="222">
        <v>2010101000</v>
      </c>
      <c r="M40" s="114" t="s">
        <v>25</v>
      </c>
      <c r="N40" s="114"/>
      <c r="O40" s="114">
        <f t="shared" si="3"/>
        <v>0</v>
      </c>
      <c r="P40" s="114"/>
      <c r="Q40" s="114">
        <f t="shared" si="6"/>
        <v>0</v>
      </c>
      <c r="R40" s="114"/>
      <c r="S40" s="114"/>
      <c r="T40" s="145"/>
      <c r="U40" s="145"/>
      <c r="V40" s="145"/>
    </row>
    <row r="41" spans="1:22" x14ac:dyDescent="0.25">
      <c r="A41" s="111"/>
      <c r="B41" s="273">
        <v>5029903000</v>
      </c>
      <c r="C41" s="274" t="s">
        <v>42</v>
      </c>
      <c r="D41" s="275">
        <f>IFERROR(VLOOKUP(B41,'WORKING PAPER FC1'!$I$19:$J$31,2,FALSE),0)</f>
        <v>0</v>
      </c>
      <c r="E41" s="276">
        <f>'WORKING PAPER FC1'!J14</f>
        <v>0</v>
      </c>
      <c r="F41" s="275">
        <f>IFERROR(VLOOKUP(B41,'WORKING PAPER FC1'!$I$11:$J$12,2,FALSE),0)</f>
        <v>0</v>
      </c>
      <c r="G41" s="114">
        <f>-1036685+'[30]Conso-BOAS 2024'!$D$45</f>
        <v>-1051685</v>
      </c>
      <c r="H41" s="110" t="s">
        <v>42</v>
      </c>
      <c r="I41" s="114">
        <f t="shared" si="4"/>
        <v>1051685</v>
      </c>
      <c r="J41" s="114"/>
      <c r="K41" s="196">
        <f t="shared" si="5"/>
        <v>-1051685</v>
      </c>
      <c r="L41" s="222">
        <v>2010101000</v>
      </c>
      <c r="M41" s="114" t="s">
        <v>25</v>
      </c>
      <c r="N41" s="114"/>
      <c r="O41" s="114">
        <f t="shared" si="3"/>
        <v>1051685</v>
      </c>
      <c r="P41" s="114"/>
      <c r="Q41" s="114">
        <f t="shared" si="6"/>
        <v>1051685</v>
      </c>
      <c r="R41" s="114"/>
      <c r="S41" s="114"/>
      <c r="T41" s="145"/>
      <c r="U41" s="145"/>
      <c r="V41" s="145"/>
    </row>
    <row r="42" spans="1:22" x14ac:dyDescent="0.25">
      <c r="A42" s="111"/>
      <c r="B42" s="273">
        <v>5020401000</v>
      </c>
      <c r="C42" s="274" t="s">
        <v>38</v>
      </c>
      <c r="D42" s="275">
        <f>IFERROR(VLOOKUP(B42,'WORKING PAPER FC1'!$I$19:$J$31,2,FALSE),0)</f>
        <v>0</v>
      </c>
      <c r="E42" s="274"/>
      <c r="F42" s="275">
        <f>IFERROR(VLOOKUP(B42,'WORKING PAPER FC1'!$I$11:$J$12,2,FALSE),0)</f>
        <v>0</v>
      </c>
      <c r="G42" s="114">
        <v>-17400</v>
      </c>
      <c r="H42" s="274" t="s">
        <v>38</v>
      </c>
      <c r="I42" s="114">
        <f t="shared" si="4"/>
        <v>17400</v>
      </c>
      <c r="J42" s="114"/>
      <c r="K42" s="196">
        <f t="shared" si="5"/>
        <v>-17400</v>
      </c>
      <c r="L42" s="222">
        <v>2010101000</v>
      </c>
      <c r="M42" s="114" t="s">
        <v>25</v>
      </c>
      <c r="N42" s="114"/>
      <c r="O42" s="114">
        <f t="shared" si="3"/>
        <v>17400</v>
      </c>
      <c r="P42" s="114"/>
      <c r="Q42" s="114">
        <f t="shared" si="6"/>
        <v>17400</v>
      </c>
      <c r="R42" s="114"/>
      <c r="S42" s="114"/>
      <c r="T42" s="145"/>
      <c r="U42" s="145"/>
      <c r="V42" s="145"/>
    </row>
    <row r="43" spans="1:22" hidden="1" x14ac:dyDescent="0.25">
      <c r="A43" s="111"/>
      <c r="B43" s="273">
        <v>5020301001</v>
      </c>
      <c r="C43" s="274" t="s">
        <v>192</v>
      </c>
      <c r="D43" s="275">
        <f>IFERROR(VLOOKUP(B43,'WORKING PAPER FC1'!$I$19:$J$31,2,FALSE),0)</f>
        <v>0</v>
      </c>
      <c r="E43" s="274"/>
      <c r="F43" s="275">
        <f>IFERROR(VLOOKUP(B43,'WORKING PAPER FC1'!$I$11:$J$12,2,FALSE),0)</f>
        <v>0</v>
      </c>
      <c r="G43" s="114"/>
      <c r="H43" s="274" t="s">
        <v>192</v>
      </c>
      <c r="I43" s="114">
        <f t="shared" si="4"/>
        <v>0</v>
      </c>
      <c r="J43" s="114"/>
      <c r="K43" s="196">
        <f t="shared" si="5"/>
        <v>0</v>
      </c>
      <c r="L43" s="222">
        <v>2010101000</v>
      </c>
      <c r="M43" s="114" t="s">
        <v>25</v>
      </c>
      <c r="N43" s="114"/>
      <c r="O43" s="114">
        <f t="shared" si="3"/>
        <v>0</v>
      </c>
      <c r="P43" s="114"/>
      <c r="Q43" s="114">
        <f t="shared" si="6"/>
        <v>0</v>
      </c>
      <c r="R43" s="114"/>
      <c r="S43" s="114"/>
      <c r="T43" s="145"/>
      <c r="U43" s="145"/>
      <c r="V43" s="145"/>
    </row>
    <row r="44" spans="1:22" ht="31.5" x14ac:dyDescent="0.25">
      <c r="A44" s="111"/>
      <c r="B44" s="273">
        <v>5020307000</v>
      </c>
      <c r="C44" s="274" t="s">
        <v>43</v>
      </c>
      <c r="D44" s="275">
        <f>IFERROR(VLOOKUP(B44,'WORKING PAPER FC1'!$I$19:$J$31,2,FALSE),0)</f>
        <v>0</v>
      </c>
      <c r="E44" s="274"/>
      <c r="F44" s="275"/>
      <c r="G44" s="114">
        <v>-279931.05</v>
      </c>
      <c r="H44" s="274" t="s">
        <v>43</v>
      </c>
      <c r="I44" s="114">
        <f t="shared" si="4"/>
        <v>279931.05</v>
      </c>
      <c r="J44" s="114"/>
      <c r="K44" s="196">
        <f t="shared" si="5"/>
        <v>-279931.05</v>
      </c>
      <c r="L44" s="222">
        <v>1040406000</v>
      </c>
      <c r="M44" s="114" t="s">
        <v>268</v>
      </c>
      <c r="N44" s="114"/>
      <c r="O44" s="114">
        <f t="shared" si="3"/>
        <v>279931.05</v>
      </c>
      <c r="P44" s="114">
        <f>-O44</f>
        <v>-279931.05</v>
      </c>
      <c r="Q44" s="114"/>
      <c r="R44" s="114"/>
      <c r="S44" s="114"/>
      <c r="T44" s="145"/>
      <c r="U44" s="145"/>
      <c r="V44" s="145"/>
    </row>
    <row r="45" spans="1:22" hidden="1" x14ac:dyDescent="0.25">
      <c r="A45" s="111"/>
      <c r="B45" s="273">
        <v>5020305000</v>
      </c>
      <c r="C45" s="274" t="s">
        <v>31</v>
      </c>
      <c r="D45" s="275"/>
      <c r="E45" s="274"/>
      <c r="F45" s="275">
        <f>IFERROR(VLOOKUP(B45,'WORKING PAPER FC1'!$I$11:$J$12,2,FALSE),0)</f>
        <v>0</v>
      </c>
      <c r="G45" s="114"/>
      <c r="H45" s="274" t="s">
        <v>31</v>
      </c>
      <c r="I45" s="114">
        <f t="shared" si="4"/>
        <v>0</v>
      </c>
      <c r="J45" s="114"/>
      <c r="K45" s="196">
        <f t="shared" si="5"/>
        <v>0</v>
      </c>
      <c r="L45" s="222">
        <v>1010102000</v>
      </c>
      <c r="M45" s="114" t="s">
        <v>64</v>
      </c>
      <c r="N45" s="114"/>
      <c r="O45" s="114">
        <f t="shared" si="3"/>
        <v>0</v>
      </c>
      <c r="P45" s="114">
        <f>-O45</f>
        <v>0</v>
      </c>
      <c r="Q45" s="114"/>
      <c r="R45" s="114"/>
      <c r="S45" s="114"/>
      <c r="T45" s="145"/>
      <c r="U45" s="145"/>
      <c r="V45" s="145"/>
    </row>
    <row r="46" spans="1:22" ht="27.75" customHeight="1" x14ac:dyDescent="0.25">
      <c r="A46" s="111"/>
      <c r="B46" s="273">
        <v>5020305000</v>
      </c>
      <c r="C46" s="274" t="s">
        <v>31</v>
      </c>
      <c r="D46" s="275"/>
      <c r="E46" s="274"/>
      <c r="F46" s="275"/>
      <c r="G46" s="114">
        <v>-2513747.46</v>
      </c>
      <c r="H46" s="274" t="s">
        <v>31</v>
      </c>
      <c r="I46" s="114">
        <f>-G46</f>
        <v>2513747.46</v>
      </c>
      <c r="J46" s="114"/>
      <c r="K46" s="196">
        <f>G46</f>
        <v>-2513747.46</v>
      </c>
      <c r="L46" s="222">
        <v>1040405000</v>
      </c>
      <c r="M46" s="114" t="s">
        <v>32</v>
      </c>
      <c r="N46" s="114"/>
      <c r="O46" s="114">
        <f>-K46</f>
        <v>2513747.46</v>
      </c>
      <c r="P46" s="114">
        <f>-O46</f>
        <v>-2513747.46</v>
      </c>
      <c r="Q46" s="114"/>
      <c r="R46" s="114"/>
      <c r="S46" s="114"/>
      <c r="T46" s="145"/>
      <c r="U46" s="145"/>
      <c r="V46" s="145"/>
    </row>
    <row r="47" spans="1:22" ht="27" customHeight="1" x14ac:dyDescent="0.25">
      <c r="A47" s="111"/>
      <c r="B47" s="273">
        <v>5020399000</v>
      </c>
      <c r="C47" s="274" t="s">
        <v>249</v>
      </c>
      <c r="D47" s="275"/>
      <c r="E47" s="274"/>
      <c r="F47" s="275"/>
      <c r="G47" s="114">
        <v>-2005580.03</v>
      </c>
      <c r="H47" s="274" t="s">
        <v>249</v>
      </c>
      <c r="I47" s="114">
        <f>-G47</f>
        <v>2005580.03</v>
      </c>
      <c r="J47" s="114"/>
      <c r="K47" s="196">
        <f>G47</f>
        <v>-2005580.03</v>
      </c>
      <c r="L47" s="222">
        <v>1040499000</v>
      </c>
      <c r="M47" s="114" t="s">
        <v>348</v>
      </c>
      <c r="N47" s="114"/>
      <c r="O47" s="114">
        <f>-K47</f>
        <v>2005580.03</v>
      </c>
      <c r="P47" s="114">
        <f>-O47</f>
        <v>-2005580.03</v>
      </c>
      <c r="Q47" s="114"/>
      <c r="R47" s="114"/>
      <c r="S47" s="114"/>
      <c r="T47" s="145"/>
      <c r="U47" s="145"/>
      <c r="V47" s="145"/>
    </row>
    <row r="48" spans="1:22" ht="31.5" hidden="1" x14ac:dyDescent="0.25">
      <c r="A48" s="111"/>
      <c r="B48" s="273">
        <v>5020307000</v>
      </c>
      <c r="C48" s="274" t="s">
        <v>43</v>
      </c>
      <c r="D48" s="275"/>
      <c r="E48" s="274"/>
      <c r="F48" s="275">
        <f>IFERROR(VLOOKUP(B48,'WORKING PAPER FC1'!$I$11:$J$12,2,FALSE),0)</f>
        <v>0</v>
      </c>
      <c r="G48" s="114"/>
      <c r="H48" s="274" t="s">
        <v>43</v>
      </c>
      <c r="I48" s="114">
        <f t="shared" si="4"/>
        <v>0</v>
      </c>
      <c r="J48" s="114"/>
      <c r="K48" s="196">
        <f t="shared" si="5"/>
        <v>0</v>
      </c>
      <c r="L48" s="222">
        <v>1010102000</v>
      </c>
      <c r="M48" s="114" t="s">
        <v>64</v>
      </c>
      <c r="N48" s="114"/>
      <c r="O48" s="114">
        <f t="shared" si="3"/>
        <v>0</v>
      </c>
      <c r="P48" s="114">
        <f>O48*-1</f>
        <v>0</v>
      </c>
      <c r="Q48" s="114"/>
      <c r="R48" s="114"/>
      <c r="S48" s="114"/>
      <c r="T48" s="145"/>
      <c r="U48" s="145"/>
      <c r="V48" s="145"/>
    </row>
    <row r="49" spans="1:22" ht="29.25" customHeight="1" x14ac:dyDescent="0.25">
      <c r="A49" s="111"/>
      <c r="B49" s="273">
        <v>5021199000</v>
      </c>
      <c r="C49" s="274" t="s">
        <v>47</v>
      </c>
      <c r="D49" s="275">
        <f>IFERROR(VLOOKUP(B49,'WORKING PAPER FC1'!$I$19:$J$31,2,FALSE),0)</f>
        <v>0</v>
      </c>
      <c r="E49" s="274"/>
      <c r="F49" s="275">
        <f>IFERROR(VLOOKUP(B49,'WORKING PAPER FC1'!$I$11:$J$12,2,FALSE),0)</f>
        <v>0</v>
      </c>
      <c r="G49" s="114">
        <f>-116534.12+'WORKING PAPER FC1'!BD3</f>
        <v>-130848.01</v>
      </c>
      <c r="H49" s="274" t="s">
        <v>47</v>
      </c>
      <c r="I49" s="114">
        <f t="shared" si="4"/>
        <v>130848.01</v>
      </c>
      <c r="J49" s="114"/>
      <c r="K49" s="196">
        <f>G49</f>
        <v>-130848.01</v>
      </c>
      <c r="L49" s="222">
        <v>1010102000</v>
      </c>
      <c r="M49" s="114" t="s">
        <v>64</v>
      </c>
      <c r="N49" s="114"/>
      <c r="O49" s="114">
        <f t="shared" si="3"/>
        <v>130848.01</v>
      </c>
      <c r="P49" s="114">
        <f>O49*-1</f>
        <v>-130848.01</v>
      </c>
      <c r="Q49" s="114"/>
      <c r="R49" s="114"/>
      <c r="S49" s="114"/>
      <c r="T49" s="145"/>
      <c r="U49" s="145"/>
      <c r="V49" s="145"/>
    </row>
    <row r="50" spans="1:22" ht="47.25" x14ac:dyDescent="0.25">
      <c r="A50" s="111"/>
      <c r="B50" s="273">
        <v>5021306001</v>
      </c>
      <c r="C50" s="274" t="s">
        <v>49</v>
      </c>
      <c r="D50" s="275">
        <f>IFERROR(VLOOKUP(B50,'WORKING PAPER FC1'!$I$19:$J$31,2,FALSE),0)</f>
        <v>0</v>
      </c>
      <c r="E50" s="274"/>
      <c r="F50" s="275">
        <f>IFERROR(VLOOKUP(B50,'WORKING PAPER FC1'!$I$11:$J$12,2,FALSE),0)</f>
        <v>0</v>
      </c>
      <c r="G50" s="114"/>
      <c r="H50" s="274" t="s">
        <v>49</v>
      </c>
      <c r="I50" s="114">
        <f t="shared" si="4"/>
        <v>0</v>
      </c>
      <c r="J50" s="114"/>
      <c r="K50" s="196">
        <f t="shared" si="5"/>
        <v>0</v>
      </c>
      <c r="L50" s="222">
        <v>1010102000</v>
      </c>
      <c r="M50" s="114" t="s">
        <v>64</v>
      </c>
      <c r="N50" s="114"/>
      <c r="O50" s="114">
        <f t="shared" si="3"/>
        <v>0</v>
      </c>
      <c r="P50" s="114">
        <f>O50*-1</f>
        <v>0</v>
      </c>
      <c r="Q50" s="114"/>
      <c r="R50" s="114"/>
      <c r="S50" s="114"/>
      <c r="T50" s="145"/>
      <c r="U50" s="145"/>
      <c r="V50" s="145"/>
    </row>
    <row r="51" spans="1:22" ht="47.25" x14ac:dyDescent="0.25">
      <c r="A51" s="111"/>
      <c r="B51" s="273">
        <v>5021305003</v>
      </c>
      <c r="C51" s="274" t="s">
        <v>353</v>
      </c>
      <c r="D51" s="275"/>
      <c r="E51" s="274"/>
      <c r="F51" s="275"/>
      <c r="G51" s="114">
        <v>-194646</v>
      </c>
      <c r="H51" s="274" t="s">
        <v>353</v>
      </c>
      <c r="I51" s="114">
        <f t="shared" si="4"/>
        <v>194646</v>
      </c>
      <c r="J51" s="114"/>
      <c r="K51" s="196">
        <f t="shared" si="5"/>
        <v>-194646</v>
      </c>
      <c r="L51" s="222">
        <v>2010101000</v>
      </c>
      <c r="M51" s="114" t="s">
        <v>25</v>
      </c>
      <c r="N51" s="114"/>
      <c r="O51" s="114">
        <f t="shared" si="3"/>
        <v>194646</v>
      </c>
      <c r="P51" s="114">
        <f>O51*-1</f>
        <v>-194646</v>
      </c>
      <c r="Q51" s="114"/>
      <c r="R51" s="114"/>
      <c r="S51" s="114"/>
      <c r="T51" s="145"/>
      <c r="U51" s="145"/>
      <c r="V51" s="145"/>
    </row>
    <row r="52" spans="1:22" ht="31.5" x14ac:dyDescent="0.25">
      <c r="A52" s="111"/>
      <c r="B52" s="273">
        <v>5029999099</v>
      </c>
      <c r="C52" s="274" t="s">
        <v>51</v>
      </c>
      <c r="D52" s="275">
        <f>IFERROR(VLOOKUP(B52,'WORKING PAPER FC1'!$I$19:$J$31,2,FALSE),0)</f>
        <v>0</v>
      </c>
      <c r="E52" s="274"/>
      <c r="F52" s="275">
        <f>IFERROR(VLOOKUP(B52,'WORKING PAPER FC1'!$I$11:$J$12,2,FALSE),0)</f>
        <v>0</v>
      </c>
      <c r="G52" s="114">
        <v>-282998</v>
      </c>
      <c r="H52" s="274" t="s">
        <v>51</v>
      </c>
      <c r="I52" s="114">
        <f t="shared" si="4"/>
        <v>282998</v>
      </c>
      <c r="J52" s="114"/>
      <c r="K52" s="196">
        <f t="shared" si="5"/>
        <v>-282998</v>
      </c>
      <c r="L52" s="222">
        <v>1010102000</v>
      </c>
      <c r="M52" s="114" t="s">
        <v>64</v>
      </c>
      <c r="N52" s="114"/>
      <c r="O52" s="114">
        <f t="shared" si="3"/>
        <v>282998</v>
      </c>
      <c r="P52" s="114">
        <f>O52*-1</f>
        <v>-282998</v>
      </c>
      <c r="Q52" s="114"/>
      <c r="R52" s="114"/>
      <c r="S52" s="114"/>
      <c r="T52" s="145"/>
      <c r="U52" s="145"/>
      <c r="V52" s="145"/>
    </row>
    <row r="53" spans="1:22" x14ac:dyDescent="0.25">
      <c r="A53" s="111"/>
      <c r="B53" s="273">
        <v>5020301001</v>
      </c>
      <c r="C53" s="274" t="s">
        <v>192</v>
      </c>
      <c r="D53" s="275">
        <f>IFERROR(VLOOKUP(B53,'WORKING PAPER FC1'!$I$19:$J$31,2,FALSE),0)</f>
        <v>0</v>
      </c>
      <c r="E53" s="274"/>
      <c r="F53" s="275">
        <f>IFERROR(VLOOKUP(B53,'WORKING PAPER FC1'!$I$11:$J$12,2,FALSE),0)</f>
        <v>0</v>
      </c>
      <c r="G53" s="114"/>
      <c r="H53" s="274" t="s">
        <v>192</v>
      </c>
      <c r="I53" s="114">
        <f t="shared" si="4"/>
        <v>0</v>
      </c>
      <c r="J53" s="114"/>
      <c r="K53" s="196">
        <f t="shared" si="5"/>
        <v>0</v>
      </c>
      <c r="L53" s="222">
        <v>1010102000</v>
      </c>
      <c r="M53" s="114" t="s">
        <v>64</v>
      </c>
      <c r="N53" s="114"/>
      <c r="O53" s="114">
        <f t="shared" si="3"/>
        <v>0</v>
      </c>
      <c r="P53" s="114">
        <f>-O53</f>
        <v>0</v>
      </c>
      <c r="Q53" s="114"/>
      <c r="R53" s="114"/>
      <c r="S53" s="114"/>
      <c r="T53" s="145"/>
      <c r="U53" s="145"/>
      <c r="V53" s="145"/>
    </row>
    <row r="54" spans="1:22" ht="47.25" x14ac:dyDescent="0.25">
      <c r="A54" s="111"/>
      <c r="B54" s="273">
        <v>5020321002</v>
      </c>
      <c r="C54" s="274" t="s">
        <v>203</v>
      </c>
      <c r="D54" s="275">
        <f>IFERROR(VLOOKUP(B54,'WORKING PAPER FC1'!$I$19:$J$31,2,FALSE),0)</f>
        <v>0</v>
      </c>
      <c r="E54" s="274"/>
      <c r="F54" s="275">
        <f>IFERROR(VLOOKUP(B54,'WORKING PAPER FC1'!$I$11:$J$12,2,FALSE),0)</f>
        <v>0</v>
      </c>
      <c r="G54" s="114">
        <v>-395837</v>
      </c>
      <c r="H54" s="274" t="s">
        <v>203</v>
      </c>
      <c r="I54" s="114">
        <f t="shared" si="4"/>
        <v>395837</v>
      </c>
      <c r="J54" s="114"/>
      <c r="K54" s="196">
        <f>G54</f>
        <v>-395837</v>
      </c>
      <c r="L54" s="222">
        <v>1040502000</v>
      </c>
      <c r="M54" s="114" t="s">
        <v>44</v>
      </c>
      <c r="N54" s="114"/>
      <c r="O54" s="114">
        <f t="shared" si="3"/>
        <v>395837</v>
      </c>
      <c r="P54" s="114">
        <f>-O54</f>
        <v>-395837</v>
      </c>
      <c r="Q54" s="114"/>
      <c r="R54" s="114"/>
      <c r="S54" s="114"/>
      <c r="T54" s="145"/>
      <c r="U54" s="145"/>
      <c r="V54" s="145"/>
    </row>
    <row r="55" spans="1:22" ht="47.25" x14ac:dyDescent="0.25">
      <c r="A55" s="111"/>
      <c r="B55" s="273">
        <v>5020321002</v>
      </c>
      <c r="C55" s="274" t="s">
        <v>203</v>
      </c>
      <c r="D55" s="275"/>
      <c r="E55" s="274"/>
      <c r="F55" s="275"/>
      <c r="G55" s="114"/>
      <c r="H55" s="274" t="s">
        <v>203</v>
      </c>
      <c r="I55" s="114">
        <f t="shared" si="4"/>
        <v>0</v>
      </c>
      <c r="J55" s="114"/>
      <c r="K55" s="196">
        <f>G55</f>
        <v>0</v>
      </c>
      <c r="L55" s="222">
        <v>2010101000</v>
      </c>
      <c r="M55" s="114" t="s">
        <v>25</v>
      </c>
      <c r="N55" s="114"/>
      <c r="O55" s="114">
        <f t="shared" si="3"/>
        <v>0</v>
      </c>
      <c r="P55" s="114">
        <f>-O55</f>
        <v>0</v>
      </c>
      <c r="Q55" s="114"/>
      <c r="R55" s="114"/>
      <c r="S55" s="114"/>
      <c r="T55" s="145"/>
      <c r="U55" s="145"/>
      <c r="V55" s="145"/>
    </row>
    <row r="56" spans="1:22" ht="15" customHeight="1" x14ac:dyDescent="0.25">
      <c r="A56" s="111"/>
      <c r="B56" s="273">
        <v>5021199000</v>
      </c>
      <c r="C56" s="274" t="s">
        <v>47</v>
      </c>
      <c r="D56" s="275">
        <f>IFERROR(VLOOKUP(B56,'WORKING PAPER FC1'!$I$19:$J$31,2,FALSE),0)</f>
        <v>0</v>
      </c>
      <c r="E56" s="274"/>
      <c r="F56" s="275">
        <f>IFERROR(VLOOKUP(B56,'WORKING PAPER FC1'!$I$11:$J$12,2,FALSE),0)</f>
        <v>0</v>
      </c>
      <c r="G56" s="114">
        <f>-17355.42+'WORKING PAPER FC1'!AV22+'[30]Conso-BOAS 2024'!$D$42+'[30]Conso-BOAS 2024'!$D$62</f>
        <v>-549118.15000000014</v>
      </c>
      <c r="H56" s="110" t="s">
        <v>47</v>
      </c>
      <c r="I56" s="114">
        <f t="shared" si="4"/>
        <v>549118.15000000014</v>
      </c>
      <c r="J56" s="114"/>
      <c r="K56" s="196">
        <f>-I56-J56</f>
        <v>-549118.15000000014</v>
      </c>
      <c r="L56" s="222">
        <v>2010101000</v>
      </c>
      <c r="M56" s="114" t="s">
        <v>25</v>
      </c>
      <c r="N56" s="114">
        <f>J56</f>
        <v>0</v>
      </c>
      <c r="O56" s="114">
        <f t="shared" si="3"/>
        <v>549118.15000000014</v>
      </c>
      <c r="P56" s="114"/>
      <c r="Q56" s="114">
        <f>O56+N56</f>
        <v>549118.15000000014</v>
      </c>
      <c r="R56" s="114"/>
      <c r="S56" s="114"/>
      <c r="T56" s="145"/>
      <c r="U56" s="145"/>
      <c r="V56" s="145"/>
    </row>
    <row r="57" spans="1:22" ht="47.25" x14ac:dyDescent="0.25">
      <c r="A57" s="111"/>
      <c r="B57" s="273">
        <v>5021304001</v>
      </c>
      <c r="C57" s="274" t="s">
        <v>48</v>
      </c>
      <c r="D57" s="275">
        <f>IFERROR(VLOOKUP(B57,'WORKING PAPER FC1'!$I$19:$J$31,2,FALSE),0)</f>
        <v>0</v>
      </c>
      <c r="E57" s="274"/>
      <c r="F57" s="275">
        <f>IFERROR(VLOOKUP(B57,'WORKING PAPER FC1'!$I$11:$J$12,2,FALSE),0)</f>
        <v>0</v>
      </c>
      <c r="G57" s="114">
        <v>-94200</v>
      </c>
      <c r="H57" s="274" t="s">
        <v>48</v>
      </c>
      <c r="I57" s="114">
        <f t="shared" si="4"/>
        <v>94200</v>
      </c>
      <c r="J57" s="114"/>
      <c r="K57" s="196">
        <f t="shared" ref="K57" si="7">G57</f>
        <v>-94200</v>
      </c>
      <c r="L57" s="222">
        <v>2010101000</v>
      </c>
      <c r="M57" s="114" t="s">
        <v>25</v>
      </c>
      <c r="N57" s="114"/>
      <c r="O57" s="114">
        <f t="shared" si="3"/>
        <v>94200</v>
      </c>
      <c r="P57" s="114"/>
      <c r="Q57" s="114">
        <f>O57</f>
        <v>94200</v>
      </c>
      <c r="R57" s="114"/>
      <c r="S57" s="114"/>
      <c r="T57" s="145"/>
      <c r="U57" s="145"/>
      <c r="V57" s="145"/>
    </row>
    <row r="58" spans="1:22" ht="47.25" x14ac:dyDescent="0.25">
      <c r="A58" s="111"/>
      <c r="B58" s="273">
        <v>5021306001</v>
      </c>
      <c r="C58" s="274" t="s">
        <v>49</v>
      </c>
      <c r="D58" s="275">
        <f>IFERROR(VLOOKUP(B58,'WORKING PAPER FC1'!$I$19:$J$31,2,FALSE),0)</f>
        <v>0</v>
      </c>
      <c r="E58" s="274"/>
      <c r="F58" s="275">
        <f>IFERROR(VLOOKUP(B58,'WORKING PAPER FC1'!$I$11:$J$12,2,FALSE),0)</f>
        <v>0</v>
      </c>
      <c r="G58" s="114">
        <f>'[30]Conso-BOAS 2024'!$D$48</f>
        <v>-10800</v>
      </c>
      <c r="H58" s="110" t="s">
        <v>49</v>
      </c>
      <c r="I58" s="114">
        <f t="shared" si="4"/>
        <v>10800</v>
      </c>
      <c r="J58" s="114"/>
      <c r="K58" s="196">
        <f>-I58-J58</f>
        <v>-10800</v>
      </c>
      <c r="L58" s="222">
        <v>2010101000</v>
      </c>
      <c r="M58" s="114" t="s">
        <v>25</v>
      </c>
      <c r="N58" s="114">
        <f>J58</f>
        <v>0</v>
      </c>
      <c r="O58" s="114">
        <f t="shared" si="3"/>
        <v>10800</v>
      </c>
      <c r="P58" s="114"/>
      <c r="Q58" s="114">
        <f>O58+N58</f>
        <v>10800</v>
      </c>
      <c r="R58" s="114"/>
      <c r="S58" s="114"/>
      <c r="T58" s="145"/>
      <c r="U58" s="145"/>
      <c r="V58" s="145"/>
    </row>
    <row r="59" spans="1:22" ht="31.5" x14ac:dyDescent="0.25">
      <c r="A59" s="111"/>
      <c r="B59" s="273">
        <v>5020309000</v>
      </c>
      <c r="C59" s="274" t="s">
        <v>37</v>
      </c>
      <c r="D59" s="275">
        <f>IFERROR(VLOOKUP(B59,'WORKING PAPER FC1'!$I$19:$J$31,2,FALSE),0)</f>
        <v>0</v>
      </c>
      <c r="E59" s="274"/>
      <c r="F59" s="275">
        <f>IFERROR(VLOOKUP(B59,'WORKING PAPER FC1'!$I$11:$J$12,2,FALSE),0)</f>
        <v>0</v>
      </c>
      <c r="G59" s="114">
        <v>-2906.83</v>
      </c>
      <c r="H59" s="274" t="s">
        <v>37</v>
      </c>
      <c r="I59" s="114">
        <f t="shared" si="4"/>
        <v>2906.83</v>
      </c>
      <c r="J59" s="114"/>
      <c r="K59" s="196">
        <f t="shared" ref="K59:K79" si="8">G59</f>
        <v>-2906.83</v>
      </c>
      <c r="L59" s="222">
        <v>2010101000</v>
      </c>
      <c r="M59" s="114" t="s">
        <v>25</v>
      </c>
      <c r="N59" s="114"/>
      <c r="O59" s="114">
        <f t="shared" si="3"/>
        <v>2906.83</v>
      </c>
      <c r="P59" s="114"/>
      <c r="Q59" s="114">
        <f>O59-N59</f>
        <v>2906.83</v>
      </c>
      <c r="R59" s="114"/>
      <c r="S59" s="114"/>
      <c r="T59" s="145"/>
      <c r="U59" s="145"/>
      <c r="V59" s="145"/>
    </row>
    <row r="60" spans="1:22" ht="47.25" x14ac:dyDescent="0.25">
      <c r="A60" s="111"/>
      <c r="B60" s="273">
        <v>5020321003</v>
      </c>
      <c r="C60" s="274" t="s">
        <v>45</v>
      </c>
      <c r="D60" s="275">
        <f>IFERROR(VLOOKUP(B60,'WORKING PAPER FC1'!$I$19:$J$31,2,FALSE),0)</f>
        <v>0</v>
      </c>
      <c r="E60" s="274"/>
      <c r="F60" s="275">
        <f>IFERROR(VLOOKUP(B60,'WORKING PAPER FC1'!$I$11:$J$12,2,FALSE),0)</f>
        <v>0</v>
      </c>
      <c r="G60" s="114">
        <v>-1125704.42</v>
      </c>
      <c r="H60" s="274" t="s">
        <v>45</v>
      </c>
      <c r="I60" s="114">
        <f t="shared" si="4"/>
        <v>1125704.42</v>
      </c>
      <c r="J60" s="114"/>
      <c r="K60" s="196">
        <f t="shared" si="8"/>
        <v>-1125704.42</v>
      </c>
      <c r="L60" s="222">
        <v>1040503000</v>
      </c>
      <c r="M60" s="125" t="s">
        <v>71</v>
      </c>
      <c r="N60" s="114"/>
      <c r="O60" s="114">
        <f t="shared" si="3"/>
        <v>1125704.42</v>
      </c>
      <c r="P60" s="114">
        <f>-O60</f>
        <v>-1125704.42</v>
      </c>
      <c r="Q60" s="114"/>
      <c r="R60" s="114"/>
      <c r="S60" s="114"/>
      <c r="T60" s="145"/>
      <c r="U60" s="145"/>
      <c r="V60" s="145"/>
    </row>
    <row r="61" spans="1:22" ht="31.5" x14ac:dyDescent="0.25">
      <c r="A61" s="111"/>
      <c r="B61" s="273">
        <v>5029999099</v>
      </c>
      <c r="C61" s="274" t="s">
        <v>51</v>
      </c>
      <c r="D61" s="275">
        <f>IFERROR(VLOOKUP(B61,'WORKING PAPER FC1'!$I$19:$J$31,2,FALSE),0)</f>
        <v>0</v>
      </c>
      <c r="E61" s="274"/>
      <c r="F61" s="275">
        <f>IFERROR(VLOOKUP(B61,'WORKING PAPER FC1'!$I$11:$J$12,2,FALSE),0)</f>
        <v>0</v>
      </c>
      <c r="G61" s="114">
        <v>-452233.93</v>
      </c>
      <c r="H61" s="110" t="s">
        <v>51</v>
      </c>
      <c r="I61" s="114">
        <f t="shared" si="4"/>
        <v>452233.93</v>
      </c>
      <c r="J61" s="114"/>
      <c r="K61" s="196">
        <f t="shared" si="8"/>
        <v>-452233.93</v>
      </c>
      <c r="L61" s="222">
        <v>2010101000</v>
      </c>
      <c r="M61" s="114" t="s">
        <v>25</v>
      </c>
      <c r="N61" s="114"/>
      <c r="O61" s="114">
        <f t="shared" si="3"/>
        <v>452233.93</v>
      </c>
      <c r="P61" s="114"/>
      <c r="Q61" s="114">
        <f>O61</f>
        <v>452233.93</v>
      </c>
      <c r="R61" s="114"/>
      <c r="S61" s="114"/>
      <c r="T61" s="145"/>
      <c r="U61" s="145"/>
      <c r="V61" s="145"/>
    </row>
    <row r="62" spans="1:22" x14ac:dyDescent="0.25">
      <c r="A62" s="111"/>
      <c r="B62" s="273">
        <v>5029901000</v>
      </c>
      <c r="C62" s="274" t="s">
        <v>127</v>
      </c>
      <c r="D62" s="275">
        <f>IFERROR(VLOOKUP(B62,'WORKING PAPER FC1'!$I$19:$J$31,2,FALSE),0)</f>
        <v>0</v>
      </c>
      <c r="E62" s="274"/>
      <c r="F62" s="275">
        <f>IFERROR(VLOOKUP(B62,'WORKING PAPER FC1'!$I$11:$J$12,2,FALSE),0)</f>
        <v>0</v>
      </c>
      <c r="G62" s="114">
        <v>175730</v>
      </c>
      <c r="H62" s="274" t="s">
        <v>127</v>
      </c>
      <c r="I62" s="114">
        <f t="shared" si="4"/>
        <v>-175730</v>
      </c>
      <c r="J62" s="114"/>
      <c r="K62" s="196">
        <f t="shared" si="8"/>
        <v>175730</v>
      </c>
      <c r="L62" s="222">
        <v>2010101000</v>
      </c>
      <c r="M62" s="114" t="s">
        <v>25</v>
      </c>
      <c r="N62" s="114"/>
      <c r="O62" s="114">
        <f t="shared" si="3"/>
        <v>-175730</v>
      </c>
      <c r="P62" s="114"/>
      <c r="Q62" s="114">
        <f>O62</f>
        <v>-175730</v>
      </c>
      <c r="R62" s="114"/>
      <c r="S62" s="114"/>
      <c r="T62" s="145"/>
      <c r="U62" s="145"/>
      <c r="V62" s="145"/>
    </row>
    <row r="63" spans="1:22" x14ac:dyDescent="0.25">
      <c r="A63" s="111"/>
      <c r="B63" s="273">
        <v>5020306000</v>
      </c>
      <c r="C63" s="274" t="s">
        <v>209</v>
      </c>
      <c r="D63" s="275"/>
      <c r="E63" s="274"/>
      <c r="F63" s="275">
        <f>IFERROR(VLOOKUP(B63,'WORKING PAPER FC1'!$I$11:$J$12,2,FALSE),0)</f>
        <v>0</v>
      </c>
      <c r="G63" s="114"/>
      <c r="H63" s="274" t="s">
        <v>209</v>
      </c>
      <c r="I63" s="114">
        <f t="shared" si="4"/>
        <v>0</v>
      </c>
      <c r="J63" s="114"/>
      <c r="K63" s="196">
        <f t="shared" si="8"/>
        <v>0</v>
      </c>
      <c r="L63" s="222">
        <v>2010101000</v>
      </c>
      <c r="M63" s="114" t="s">
        <v>25</v>
      </c>
      <c r="N63" s="114"/>
      <c r="O63" s="114">
        <f t="shared" si="3"/>
        <v>0</v>
      </c>
      <c r="P63" s="114"/>
      <c r="Q63" s="114">
        <f>O63</f>
        <v>0</v>
      </c>
      <c r="R63" s="114"/>
      <c r="S63" s="114"/>
      <c r="T63" s="145"/>
      <c r="U63" s="319" t="s">
        <v>210</v>
      </c>
      <c r="V63" s="145"/>
    </row>
    <row r="64" spans="1:22" x14ac:dyDescent="0.25">
      <c r="A64" s="111"/>
      <c r="B64" s="273">
        <v>5020503000</v>
      </c>
      <c r="C64" s="274" t="s">
        <v>41</v>
      </c>
      <c r="D64" s="275">
        <f>IFERROR(VLOOKUP(B64,'WORKING PAPER FC1'!$I$19:$J$31,2,FALSE),0)</f>
        <v>0</v>
      </c>
      <c r="E64" s="274"/>
      <c r="F64" s="275">
        <f>IFERROR(VLOOKUP(B64,'WORKING PAPER FC1'!$I$11:$J$12,2,FALSE),0)</f>
        <v>0</v>
      </c>
      <c r="G64" s="114"/>
      <c r="H64" s="274" t="s">
        <v>41</v>
      </c>
      <c r="I64" s="114">
        <f t="shared" si="4"/>
        <v>0</v>
      </c>
      <c r="J64" s="114"/>
      <c r="K64" s="196">
        <f t="shared" si="8"/>
        <v>0</v>
      </c>
      <c r="L64" s="222">
        <v>2010101000</v>
      </c>
      <c r="M64" s="114" t="s">
        <v>25</v>
      </c>
      <c r="N64" s="114"/>
      <c r="O64" s="114">
        <f t="shared" si="3"/>
        <v>0</v>
      </c>
      <c r="P64" s="114"/>
      <c r="Q64" s="114">
        <f>O64</f>
        <v>0</v>
      </c>
      <c r="R64" s="114"/>
      <c r="S64" s="114"/>
      <c r="T64" s="145"/>
      <c r="U64" s="319"/>
      <c r="V64" s="145"/>
    </row>
    <row r="65" spans="1:22" ht="31.5" x14ac:dyDescent="0.25">
      <c r="A65" s="111"/>
      <c r="B65" s="273">
        <v>5029905003</v>
      </c>
      <c r="C65" s="274" t="s">
        <v>211</v>
      </c>
      <c r="D65" s="275">
        <f>IFERROR(VLOOKUP(B65,'WORKING PAPER FC1'!$I$19:$J$31,2,FALSE),0)</f>
        <v>0</v>
      </c>
      <c r="E65" s="274"/>
      <c r="F65" s="275">
        <f>IFERROR(VLOOKUP(B65,'WORKING PAPER FC1'!$I$11:$J$12,2,FALSE),0)</f>
        <v>0</v>
      </c>
      <c r="G65" s="114">
        <f>-6000+'[30]Conso-BOAS 2024'!$D$50</f>
        <v>-856000</v>
      </c>
      <c r="H65" s="274" t="s">
        <v>211</v>
      </c>
      <c r="I65" s="114">
        <f t="shared" si="4"/>
        <v>856000</v>
      </c>
      <c r="J65" s="114"/>
      <c r="K65" s="196">
        <f t="shared" si="8"/>
        <v>-856000</v>
      </c>
      <c r="L65" s="222">
        <v>2010101000</v>
      </c>
      <c r="M65" s="114" t="s">
        <v>25</v>
      </c>
      <c r="N65" s="114"/>
      <c r="O65" s="114">
        <f t="shared" si="3"/>
        <v>856000</v>
      </c>
      <c r="P65" s="114"/>
      <c r="Q65" s="114">
        <f>O65</f>
        <v>856000</v>
      </c>
      <c r="R65" s="114"/>
      <c r="S65" s="114"/>
      <c r="T65" s="145"/>
      <c r="U65" s="319"/>
      <c r="V65" s="145"/>
    </row>
    <row r="66" spans="1:22" ht="31.5" x14ac:dyDescent="0.25">
      <c r="A66" s="111"/>
      <c r="B66" s="273">
        <v>5020322001</v>
      </c>
      <c r="C66" s="274" t="s">
        <v>215</v>
      </c>
      <c r="D66" s="275">
        <f>IFERROR(VLOOKUP(B66,'WORKING PAPER FC1'!$I$19:$J$31,2,FALSE),0)</f>
        <v>0</v>
      </c>
      <c r="E66" s="274"/>
      <c r="F66" s="275">
        <f>IFERROR(VLOOKUP(B66,'WORKING PAPER FC1'!$I$11:$J$12,2,FALSE),0)</f>
        <v>0</v>
      </c>
      <c r="G66" s="114">
        <v>-1369894</v>
      </c>
      <c r="H66" s="274" t="s">
        <v>215</v>
      </c>
      <c r="I66" s="114">
        <f t="shared" si="4"/>
        <v>1369894</v>
      </c>
      <c r="J66" s="114"/>
      <c r="K66" s="196">
        <f t="shared" si="8"/>
        <v>-1369894</v>
      </c>
      <c r="L66" s="222">
        <v>1040601000</v>
      </c>
      <c r="M66" s="114" t="s">
        <v>216</v>
      </c>
      <c r="N66" s="114"/>
      <c r="O66" s="114">
        <f t="shared" si="3"/>
        <v>1369894</v>
      </c>
      <c r="P66" s="114">
        <f t="shared" ref="P66:P70" si="9">-O66</f>
        <v>-1369894</v>
      </c>
      <c r="Q66" s="114"/>
      <c r="R66" s="114"/>
      <c r="S66" s="114"/>
      <c r="T66" s="145"/>
      <c r="U66" s="319"/>
      <c r="V66" s="145"/>
    </row>
    <row r="67" spans="1:22" ht="47.25" x14ac:dyDescent="0.25">
      <c r="A67" s="111"/>
      <c r="B67" s="273">
        <v>5020321099</v>
      </c>
      <c r="C67" s="274" t="s">
        <v>217</v>
      </c>
      <c r="D67" s="275"/>
      <c r="E67" s="274"/>
      <c r="F67" s="275"/>
      <c r="G67" s="114"/>
      <c r="H67" s="274" t="s">
        <v>217</v>
      </c>
      <c r="I67" s="114">
        <f t="shared" si="4"/>
        <v>0</v>
      </c>
      <c r="J67" s="114"/>
      <c r="K67" s="196">
        <f t="shared" si="8"/>
        <v>0</v>
      </c>
      <c r="L67" s="222">
        <v>2010101000</v>
      </c>
      <c r="M67" s="114" t="s">
        <v>25</v>
      </c>
      <c r="N67" s="114"/>
      <c r="O67" s="114">
        <f t="shared" si="3"/>
        <v>0</v>
      </c>
      <c r="P67" s="114">
        <f t="shared" si="9"/>
        <v>0</v>
      </c>
      <c r="Q67" s="114"/>
      <c r="R67" s="114"/>
      <c r="S67" s="114"/>
      <c r="T67" s="145"/>
      <c r="U67" s="319"/>
      <c r="V67" s="145"/>
    </row>
    <row r="68" spans="1:22" ht="31.5" x14ac:dyDescent="0.25">
      <c r="A68" s="111"/>
      <c r="B68" s="381">
        <v>5020308000</v>
      </c>
      <c r="C68" s="274" t="s">
        <v>213</v>
      </c>
      <c r="D68" s="275">
        <f>IFERROR(VLOOKUP(B68,'WORKING PAPER FC1'!$I$19:$J$31,2,FALSE),0)</f>
        <v>0</v>
      </c>
      <c r="E68" s="274"/>
      <c r="F68" s="275">
        <f>IFERROR(VLOOKUP(B68,'WORKING PAPER FC1'!$I$11:$J$12,2,FALSE),0)</f>
        <v>0</v>
      </c>
      <c r="G68" s="114">
        <v>-152424.75</v>
      </c>
      <c r="H68" s="274" t="s">
        <v>213</v>
      </c>
      <c r="I68" s="114">
        <f t="shared" si="4"/>
        <v>152424.75</v>
      </c>
      <c r="J68" s="114"/>
      <c r="K68" s="196">
        <f t="shared" si="8"/>
        <v>-152424.75</v>
      </c>
      <c r="L68" s="222">
        <v>1040407000</v>
      </c>
      <c r="M68" s="125" t="s">
        <v>214</v>
      </c>
      <c r="N68" s="114"/>
      <c r="O68" s="114">
        <f t="shared" si="3"/>
        <v>152424.75</v>
      </c>
      <c r="P68" s="114">
        <f t="shared" si="9"/>
        <v>-152424.75</v>
      </c>
      <c r="Q68" s="114"/>
      <c r="R68" s="114"/>
      <c r="S68" s="114"/>
      <c r="T68" s="145"/>
      <c r="U68" s="319"/>
      <c r="V68" s="145"/>
    </row>
    <row r="69" spans="1:22" ht="47.25" x14ac:dyDescent="0.25">
      <c r="A69" s="111"/>
      <c r="B69" s="273">
        <v>5020321007</v>
      </c>
      <c r="C69" s="274" t="s">
        <v>219</v>
      </c>
      <c r="D69" s="275">
        <f>IFERROR(VLOOKUP(B69,'WORKING PAPER FC1'!$I$19:$J$31,2,FALSE),0)</f>
        <v>0</v>
      </c>
      <c r="E69" s="274"/>
      <c r="F69" s="275">
        <f>IFERROR(VLOOKUP(B69,'WORKING PAPER FC1'!$I$11:$J$12,2,FALSE),0)</f>
        <v>0</v>
      </c>
      <c r="G69" s="114"/>
      <c r="H69" s="274" t="s">
        <v>219</v>
      </c>
      <c r="I69" s="114">
        <f t="shared" si="4"/>
        <v>0</v>
      </c>
      <c r="J69" s="114"/>
      <c r="K69" s="196">
        <f t="shared" si="8"/>
        <v>0</v>
      </c>
      <c r="L69" s="222">
        <v>1040507000</v>
      </c>
      <c r="M69" s="125" t="s">
        <v>220</v>
      </c>
      <c r="N69" s="114"/>
      <c r="O69" s="114">
        <f t="shared" si="3"/>
        <v>0</v>
      </c>
      <c r="P69" s="114">
        <f t="shared" si="9"/>
        <v>0</v>
      </c>
      <c r="Q69" s="114"/>
      <c r="R69" s="114"/>
      <c r="S69" s="114"/>
      <c r="T69" s="145"/>
      <c r="U69" s="319"/>
      <c r="V69" s="145"/>
    </row>
    <row r="70" spans="1:22" ht="47.25" x14ac:dyDescent="0.25">
      <c r="A70" s="111"/>
      <c r="B70" s="273">
        <v>5020321012</v>
      </c>
      <c r="C70" s="274" t="s">
        <v>395</v>
      </c>
      <c r="D70" s="275"/>
      <c r="E70" s="274"/>
      <c r="F70" s="275"/>
      <c r="G70" s="114">
        <v>-53313</v>
      </c>
      <c r="H70" s="274" t="s">
        <v>395</v>
      </c>
      <c r="I70" s="114">
        <f t="shared" si="4"/>
        <v>53313</v>
      </c>
      <c r="J70" s="114"/>
      <c r="K70" s="196">
        <f t="shared" si="8"/>
        <v>-53313</v>
      </c>
      <c r="L70" s="222">
        <v>1040512000</v>
      </c>
      <c r="M70" s="125" t="s">
        <v>394</v>
      </c>
      <c r="N70" s="114"/>
      <c r="O70" s="114">
        <f t="shared" si="3"/>
        <v>53313</v>
      </c>
      <c r="P70" s="114">
        <f t="shared" si="9"/>
        <v>-53313</v>
      </c>
      <c r="Q70" s="114"/>
      <c r="R70" s="114"/>
      <c r="S70" s="114"/>
      <c r="T70" s="145"/>
      <c r="U70" s="319"/>
      <c r="V70" s="145"/>
    </row>
    <row r="71" spans="1:22" ht="31.5" x14ac:dyDescent="0.25">
      <c r="A71" s="111"/>
      <c r="B71" s="273">
        <v>5029905001</v>
      </c>
      <c r="C71" s="274" t="s">
        <v>221</v>
      </c>
      <c r="D71" s="275">
        <f>IFERROR(VLOOKUP(B71,'WORKING PAPER FC1'!$I$19:$J$31,2,FALSE),0)</f>
        <v>0</v>
      </c>
      <c r="E71" s="274"/>
      <c r="F71" s="275">
        <f>IFERROR(VLOOKUP(B71,'WORKING PAPER FC1'!$I$11:$J$12,2,FALSE),0)</f>
        <v>0</v>
      </c>
      <c r="G71" s="114">
        <f>'WORKING PAPER FC1'!AV3</f>
        <v>-30000</v>
      </c>
      <c r="H71" s="274" t="s">
        <v>221</v>
      </c>
      <c r="I71" s="114">
        <f t="shared" si="4"/>
        <v>30000</v>
      </c>
      <c r="J71" s="114"/>
      <c r="K71" s="196">
        <f t="shared" si="8"/>
        <v>-30000</v>
      </c>
      <c r="L71" s="222">
        <v>2010101000</v>
      </c>
      <c r="M71" s="114" t="s">
        <v>25</v>
      </c>
      <c r="N71" s="114"/>
      <c r="O71" s="114">
        <f t="shared" si="3"/>
        <v>30000</v>
      </c>
      <c r="P71" s="114"/>
      <c r="Q71" s="114">
        <f>O71-N71</f>
        <v>30000</v>
      </c>
      <c r="R71" s="114"/>
      <c r="S71" s="114"/>
      <c r="T71" s="145"/>
      <c r="U71" s="319"/>
      <c r="V71" s="145"/>
    </row>
    <row r="72" spans="1:22" ht="31.5" x14ac:dyDescent="0.25">
      <c r="A72" s="111"/>
      <c r="B72" s="273">
        <v>5029902000</v>
      </c>
      <c r="C72" s="274" t="s">
        <v>52</v>
      </c>
      <c r="D72" s="275">
        <f>IFERROR(VLOOKUP(B72,'WORKING PAPER FC1'!$I$19:$J$31,2,FALSE),0)</f>
        <v>0</v>
      </c>
      <c r="E72" s="274"/>
      <c r="F72" s="275">
        <f>IFERROR(VLOOKUP(B72,'WORKING PAPER FC1'!$I$11:$J$12,2,FALSE),0)</f>
        <v>0</v>
      </c>
      <c r="G72" s="114">
        <f>-180550+'WORKING PAPER FC1'!BD8+'[30]Conso-BOAS 2024'!$D$43</f>
        <v>-448960</v>
      </c>
      <c r="H72" s="274" t="s">
        <v>52</v>
      </c>
      <c r="I72" s="114">
        <f t="shared" si="4"/>
        <v>448960</v>
      </c>
      <c r="J72" s="114"/>
      <c r="K72" s="196">
        <f t="shared" si="8"/>
        <v>-448960</v>
      </c>
      <c r="L72" s="222">
        <v>2010101000</v>
      </c>
      <c r="M72" s="114" t="s">
        <v>25</v>
      </c>
      <c r="N72" s="114"/>
      <c r="O72" s="114">
        <f t="shared" si="3"/>
        <v>448960</v>
      </c>
      <c r="P72" s="114"/>
      <c r="Q72" s="114">
        <f>O72-N72</f>
        <v>448960</v>
      </c>
      <c r="R72" s="114"/>
      <c r="S72" s="114"/>
      <c r="T72" s="145"/>
      <c r="U72" s="319"/>
      <c r="V72" s="145"/>
    </row>
    <row r="73" spans="1:22" ht="47.25" x14ac:dyDescent="0.25">
      <c r="A73" s="111"/>
      <c r="B73" s="273">
        <v>5020321001</v>
      </c>
      <c r="C73" s="274" t="s">
        <v>222</v>
      </c>
      <c r="D73" s="275">
        <f>IFERROR(VLOOKUP(B73,'WORKING PAPER FC1'!$I$19:$J$31,2,FALSE),0)</f>
        <v>0</v>
      </c>
      <c r="E73" s="274"/>
      <c r="F73" s="275">
        <f>IFERROR(VLOOKUP(B73,'WORKING PAPER FC1'!$I$11:$J$12,2,FALSE),0)</f>
        <v>0</v>
      </c>
      <c r="G73" s="114">
        <v>-59670</v>
      </c>
      <c r="H73" s="274" t="s">
        <v>222</v>
      </c>
      <c r="I73" s="114">
        <f t="shared" si="4"/>
        <v>59670</v>
      </c>
      <c r="J73" s="114"/>
      <c r="K73" s="196">
        <f t="shared" si="8"/>
        <v>-59670</v>
      </c>
      <c r="L73" s="222">
        <v>1040501000</v>
      </c>
      <c r="M73" s="114" t="s">
        <v>223</v>
      </c>
      <c r="N73" s="114"/>
      <c r="O73" s="114">
        <f t="shared" si="3"/>
        <v>59670</v>
      </c>
      <c r="P73" s="114">
        <f>-O73</f>
        <v>-59670</v>
      </c>
      <c r="Q73" s="114"/>
      <c r="R73" s="114"/>
      <c r="S73" s="114"/>
      <c r="T73" s="145"/>
      <c r="U73" s="319"/>
      <c r="V73" s="145"/>
    </row>
    <row r="74" spans="1:22" ht="47.25" x14ac:dyDescent="0.25">
      <c r="A74" s="111"/>
      <c r="B74" s="273">
        <v>5020321010</v>
      </c>
      <c r="C74" s="274" t="s">
        <v>224</v>
      </c>
      <c r="D74" s="275">
        <f>IFERROR(VLOOKUP(B74,'WORKING PAPER FC1'!$I$19:$J$31,2,FALSE),0)</f>
        <v>0</v>
      </c>
      <c r="E74" s="274"/>
      <c r="F74" s="275">
        <f>IFERROR(VLOOKUP(B74,'WORKING PAPER FC1'!$I$11:$J$12,2,FALSE),0)</f>
        <v>0</v>
      </c>
      <c r="G74" s="114">
        <v>-90833</v>
      </c>
      <c r="H74" s="274" t="s">
        <v>222</v>
      </c>
      <c r="I74" s="114">
        <f t="shared" si="4"/>
        <v>90833</v>
      </c>
      <c r="J74" s="114"/>
      <c r="K74" s="196">
        <f t="shared" si="8"/>
        <v>-90833</v>
      </c>
      <c r="L74" s="222">
        <v>1040510000</v>
      </c>
      <c r="M74" s="114" t="s">
        <v>225</v>
      </c>
      <c r="N74" s="114"/>
      <c r="O74" s="114">
        <f t="shared" si="3"/>
        <v>90833</v>
      </c>
      <c r="P74" s="114">
        <f>-O74</f>
        <v>-90833</v>
      </c>
      <c r="Q74" s="114"/>
      <c r="R74" s="114"/>
      <c r="S74" s="114"/>
      <c r="T74" s="145"/>
      <c r="U74" s="319"/>
      <c r="V74" s="145"/>
    </row>
    <row r="75" spans="1:22" ht="47.25" x14ac:dyDescent="0.25">
      <c r="A75" s="111"/>
      <c r="B75" s="273">
        <v>5020321010</v>
      </c>
      <c r="C75" s="274" t="s">
        <v>224</v>
      </c>
      <c r="D75" s="275"/>
      <c r="E75" s="274"/>
      <c r="F75" s="275"/>
      <c r="G75" s="114"/>
      <c r="H75" s="274" t="s">
        <v>222</v>
      </c>
      <c r="I75" s="114">
        <f t="shared" si="4"/>
        <v>0</v>
      </c>
      <c r="J75" s="114"/>
      <c r="K75" s="196">
        <f t="shared" si="8"/>
        <v>0</v>
      </c>
      <c r="L75" s="222">
        <v>2010101000</v>
      </c>
      <c r="M75" s="114" t="s">
        <v>25</v>
      </c>
      <c r="N75" s="114"/>
      <c r="O75" s="114">
        <f t="shared" si="3"/>
        <v>0</v>
      </c>
      <c r="P75" s="114">
        <f>-O75</f>
        <v>0</v>
      </c>
      <c r="Q75" s="114"/>
      <c r="R75" s="114"/>
      <c r="S75" s="114"/>
      <c r="T75" s="145"/>
      <c r="U75" s="319"/>
      <c r="V75" s="145"/>
    </row>
    <row r="76" spans="1:22" ht="31.5" x14ac:dyDescent="0.25">
      <c r="A76" s="111"/>
      <c r="B76" s="273">
        <v>5020321013</v>
      </c>
      <c r="C76" s="274" t="s">
        <v>259</v>
      </c>
      <c r="D76" s="275">
        <f>IFERROR(VLOOKUP(B76,'WORKING PAPER FC1'!$I$19:$J$31,2,FALSE),0)</f>
        <v>0</v>
      </c>
      <c r="E76" s="274"/>
      <c r="F76" s="275"/>
      <c r="G76" s="114"/>
      <c r="H76" s="274" t="s">
        <v>259</v>
      </c>
      <c r="I76" s="114">
        <f t="shared" si="4"/>
        <v>0</v>
      </c>
      <c r="J76" s="114"/>
      <c r="K76" s="196">
        <f t="shared" si="8"/>
        <v>0</v>
      </c>
      <c r="L76" s="222">
        <v>1040513000</v>
      </c>
      <c r="M76" s="114" t="s">
        <v>260</v>
      </c>
      <c r="N76" s="114"/>
      <c r="O76" s="114">
        <f t="shared" si="3"/>
        <v>0</v>
      </c>
      <c r="P76" s="114">
        <f>-O76</f>
        <v>0</v>
      </c>
      <c r="Q76" s="114"/>
      <c r="R76" s="114"/>
      <c r="S76" s="114"/>
      <c r="T76" s="145"/>
      <c r="U76" s="319"/>
      <c r="V76" s="145"/>
    </row>
    <row r="77" spans="1:22" ht="31.5" x14ac:dyDescent="0.25">
      <c r="A77" s="111"/>
      <c r="B77" s="273">
        <v>5050105003</v>
      </c>
      <c r="C77" s="274" t="s">
        <v>228</v>
      </c>
      <c r="D77" s="275">
        <f>IFERROR(VLOOKUP(B77,'WORKING PAPER FC1'!$I$19:$J$31,2,FALSE),0)</f>
        <v>0</v>
      </c>
      <c r="E77" s="274"/>
      <c r="F77" s="275">
        <f>IFERROR(VLOOKUP(B77,'WORKING PAPER FC1'!$I$11:$J$12,2,FALSE),0)</f>
        <v>0</v>
      </c>
      <c r="G77" s="114">
        <f>-17375+'WORKING PAPER FC1'!BP23</f>
        <v>-142445</v>
      </c>
      <c r="H77" s="274" t="s">
        <v>228</v>
      </c>
      <c r="I77" s="114">
        <f t="shared" si="4"/>
        <v>142445</v>
      </c>
      <c r="J77" s="114"/>
      <c r="K77" s="196">
        <f t="shared" si="8"/>
        <v>-142445</v>
      </c>
      <c r="L77" s="222">
        <v>1060503100</v>
      </c>
      <c r="M77" s="125" t="s">
        <v>229</v>
      </c>
      <c r="N77" s="114"/>
      <c r="O77" s="114">
        <f t="shared" si="3"/>
        <v>142445</v>
      </c>
      <c r="P77" s="114">
        <f>-O77</f>
        <v>-142445</v>
      </c>
      <c r="Q77" s="114"/>
      <c r="R77" s="114"/>
      <c r="S77" s="114"/>
      <c r="T77" s="145"/>
      <c r="U77" s="319"/>
      <c r="V77" s="145"/>
    </row>
    <row r="78" spans="1:22" x14ac:dyDescent="0.25">
      <c r="A78" s="111"/>
      <c r="B78" s="273">
        <v>5050104099</v>
      </c>
      <c r="C78" s="274" t="s">
        <v>369</v>
      </c>
      <c r="D78" s="275"/>
      <c r="E78" s="274"/>
      <c r="F78" s="275"/>
      <c r="G78" s="114">
        <v>-234887.5</v>
      </c>
      <c r="H78" s="274" t="s">
        <v>369</v>
      </c>
      <c r="I78" s="114">
        <f t="shared" si="4"/>
        <v>234887.5</v>
      </c>
      <c r="J78" s="114"/>
      <c r="K78" s="196">
        <f t="shared" si="8"/>
        <v>-234887.5</v>
      </c>
      <c r="L78" s="222">
        <v>1060499100</v>
      </c>
      <c r="M78" s="125" t="s">
        <v>370</v>
      </c>
      <c r="N78" s="114"/>
      <c r="O78" s="114">
        <f>I78</f>
        <v>234887.5</v>
      </c>
      <c r="P78" s="114">
        <f>O78*-1</f>
        <v>-234887.5</v>
      </c>
      <c r="Q78" s="114"/>
      <c r="R78" s="114"/>
      <c r="S78" s="114"/>
      <c r="T78" s="145"/>
      <c r="U78" s="319"/>
      <c r="V78" s="145"/>
    </row>
    <row r="79" spans="1:22" ht="31.5" x14ac:dyDescent="0.25">
      <c r="A79" s="111"/>
      <c r="B79" s="273">
        <v>5029904000</v>
      </c>
      <c r="C79" s="274" t="s">
        <v>243</v>
      </c>
      <c r="D79" s="275">
        <f>IFERROR(VLOOKUP(B79,'WORKING PAPER FC1'!$I$19:$J$31,2,FALSE),0)</f>
        <v>0</v>
      </c>
      <c r="E79" s="274"/>
      <c r="F79" s="275">
        <f>IFERROR(VLOOKUP(B79,'WORKING PAPER FC1'!$I$11:$J$12,2,FALSE),0)</f>
        <v>0</v>
      </c>
      <c r="G79" s="114">
        <v>-950000</v>
      </c>
      <c r="H79" s="274" t="s">
        <v>243</v>
      </c>
      <c r="I79" s="114">
        <f t="shared" si="4"/>
        <v>950000</v>
      </c>
      <c r="J79" s="114"/>
      <c r="K79" s="196">
        <f t="shared" si="8"/>
        <v>-950000</v>
      </c>
      <c r="L79" s="222">
        <v>2010101000</v>
      </c>
      <c r="M79" s="114" t="s">
        <v>25</v>
      </c>
      <c r="N79" s="114"/>
      <c r="O79" s="114">
        <f t="shared" si="3"/>
        <v>950000</v>
      </c>
      <c r="P79" s="114"/>
      <c r="Q79" s="114">
        <f>O79</f>
        <v>950000</v>
      </c>
      <c r="R79" s="114"/>
      <c r="S79" s="114"/>
      <c r="T79" s="145"/>
      <c r="U79" s="319"/>
      <c r="V79" s="145"/>
    </row>
    <row r="80" spans="1:22" ht="31.5" x14ac:dyDescent="0.25">
      <c r="A80" s="111"/>
      <c r="B80" s="273">
        <v>1060503000</v>
      </c>
      <c r="C80" s="274" t="s">
        <v>282</v>
      </c>
      <c r="D80" s="275"/>
      <c r="E80" s="274"/>
      <c r="F80" s="275"/>
      <c r="G80" s="114"/>
      <c r="H80" s="274" t="s">
        <v>282</v>
      </c>
      <c r="I80" s="114">
        <f>G80</f>
        <v>0</v>
      </c>
      <c r="J80" s="114"/>
      <c r="K80" s="196">
        <f>I80</f>
        <v>0</v>
      </c>
      <c r="L80" s="222">
        <v>4030106000</v>
      </c>
      <c r="M80" s="125" t="s">
        <v>285</v>
      </c>
      <c r="N80" s="114"/>
      <c r="O80" s="114">
        <f>G80</f>
        <v>0</v>
      </c>
      <c r="P80" s="114">
        <f>O80</f>
        <v>0</v>
      </c>
      <c r="Q80" s="114"/>
      <c r="R80" s="114"/>
      <c r="S80" s="114"/>
      <c r="T80" s="145"/>
      <c r="U80" s="319"/>
      <c r="V80" s="145"/>
    </row>
    <row r="81" spans="1:22" x14ac:dyDescent="0.25">
      <c r="A81" s="111"/>
      <c r="B81" s="273">
        <v>1060601000</v>
      </c>
      <c r="C81" s="274" t="s">
        <v>72</v>
      </c>
      <c r="D81" s="275"/>
      <c r="E81" s="274"/>
      <c r="F81" s="275"/>
      <c r="G81" s="114">
        <f>'WORKING PAPER FC1'!BP26</f>
        <v>-907500</v>
      </c>
      <c r="H81" s="274" t="s">
        <v>72</v>
      </c>
      <c r="I81" s="114"/>
      <c r="J81" s="114">
        <f>G81*-1</f>
        <v>907500</v>
      </c>
      <c r="K81" s="196">
        <f>I81</f>
        <v>0</v>
      </c>
      <c r="L81" s="222">
        <v>4030106000</v>
      </c>
      <c r="M81" s="125" t="s">
        <v>285</v>
      </c>
      <c r="N81" s="114">
        <f>J81</f>
        <v>907500</v>
      </c>
      <c r="O81" s="114"/>
      <c r="P81" s="114">
        <f>-N81</f>
        <v>-907500</v>
      </c>
      <c r="Q81" s="114"/>
      <c r="R81" s="114"/>
      <c r="S81" s="114"/>
      <c r="T81" s="145"/>
      <c r="U81" s="319"/>
      <c r="V81" s="145"/>
    </row>
    <row r="82" spans="1:22" x14ac:dyDescent="0.25">
      <c r="A82" s="111"/>
      <c r="B82" s="273">
        <v>1060499000</v>
      </c>
      <c r="C82" s="274" t="s">
        <v>284</v>
      </c>
      <c r="D82" s="275"/>
      <c r="E82" s="274"/>
      <c r="F82" s="275"/>
      <c r="G82" s="114"/>
      <c r="H82" s="274"/>
      <c r="I82" s="114"/>
      <c r="J82" s="114"/>
      <c r="K82" s="196"/>
      <c r="L82" s="222">
        <v>1060499000</v>
      </c>
      <c r="M82" s="125" t="s">
        <v>284</v>
      </c>
      <c r="N82" s="114"/>
      <c r="O82" s="114">
        <f>G82</f>
        <v>0</v>
      </c>
      <c r="P82" s="114">
        <f>O82</f>
        <v>0</v>
      </c>
      <c r="Q82" s="114"/>
      <c r="R82" s="114"/>
      <c r="S82" s="114">
        <f>+P82</f>
        <v>0</v>
      </c>
      <c r="T82" s="145"/>
      <c r="U82" s="319"/>
      <c r="V82" s="145"/>
    </row>
    <row r="83" spans="1:22" x14ac:dyDescent="0.25">
      <c r="A83" s="111"/>
      <c r="B83" s="273"/>
      <c r="C83" s="274" t="s">
        <v>365</v>
      </c>
      <c r="D83" s="275"/>
      <c r="E83" s="274"/>
      <c r="F83" s="275"/>
      <c r="G83" s="114">
        <v>995484.5</v>
      </c>
      <c r="H83" s="274" t="s">
        <v>365</v>
      </c>
      <c r="I83" s="114">
        <v>995484.5</v>
      </c>
      <c r="J83" s="114"/>
      <c r="K83" s="196">
        <v>995484.5</v>
      </c>
      <c r="L83" s="222"/>
      <c r="M83" s="125" t="s">
        <v>366</v>
      </c>
      <c r="N83" s="114"/>
      <c r="O83" s="114">
        <v>995484.5</v>
      </c>
      <c r="P83" s="114">
        <v>995484.5</v>
      </c>
      <c r="Q83" s="114"/>
      <c r="R83" s="114"/>
      <c r="S83" s="114"/>
      <c r="T83" s="145"/>
      <c r="U83" s="319"/>
      <c r="V83" s="145"/>
    </row>
    <row r="84" spans="1:22" x14ac:dyDescent="0.25">
      <c r="A84" s="111"/>
      <c r="B84" s="273"/>
      <c r="C84" s="274" t="s">
        <v>209</v>
      </c>
      <c r="D84" s="275"/>
      <c r="E84" s="274"/>
      <c r="F84" s="275"/>
      <c r="G84" s="114">
        <v>-995500</v>
      </c>
      <c r="H84" s="274" t="s">
        <v>209</v>
      </c>
      <c r="I84" s="114"/>
      <c r="J84" s="114"/>
      <c r="K84" s="196">
        <v>0</v>
      </c>
      <c r="L84" s="222"/>
      <c r="M84" s="125" t="s">
        <v>36</v>
      </c>
      <c r="N84" s="114"/>
      <c r="O84" s="114">
        <v>995500</v>
      </c>
      <c r="P84" s="114">
        <v>-995500</v>
      </c>
      <c r="Q84" s="114"/>
      <c r="R84" s="114"/>
      <c r="S84" s="114">
        <v>-995500</v>
      </c>
      <c r="T84" s="145"/>
      <c r="U84" s="319"/>
      <c r="V84" s="145"/>
    </row>
    <row r="85" spans="1:22" x14ac:dyDescent="0.25">
      <c r="A85" s="111"/>
      <c r="B85" s="273"/>
      <c r="C85" s="274" t="s">
        <v>374</v>
      </c>
      <c r="D85" s="275"/>
      <c r="E85" s="274"/>
      <c r="F85" s="275"/>
      <c r="G85" s="114">
        <v>-5540</v>
      </c>
      <c r="H85" s="274" t="s">
        <v>374</v>
      </c>
      <c r="I85" s="114">
        <v>5540</v>
      </c>
      <c r="J85" s="114"/>
      <c r="K85" s="196">
        <v>5540</v>
      </c>
      <c r="L85" s="222"/>
      <c r="M85" s="125" t="s">
        <v>73</v>
      </c>
      <c r="N85" s="114"/>
      <c r="O85" s="114">
        <v>5540</v>
      </c>
      <c r="P85" s="114"/>
      <c r="Q85" s="114">
        <v>5540</v>
      </c>
      <c r="R85" s="114"/>
      <c r="S85" s="114"/>
      <c r="T85" s="145"/>
      <c r="U85" s="319"/>
      <c r="V85" s="145"/>
    </row>
    <row r="86" spans="1:22" x14ac:dyDescent="0.25">
      <c r="A86" s="111"/>
      <c r="B86" s="273"/>
      <c r="C86" s="274" t="s">
        <v>330</v>
      </c>
      <c r="D86" s="275"/>
      <c r="E86" s="274"/>
      <c r="F86" s="275"/>
      <c r="G86" s="114">
        <v>-61247.95</v>
      </c>
      <c r="H86" s="274" t="s">
        <v>330</v>
      </c>
      <c r="I86" s="114">
        <v>61247.95</v>
      </c>
      <c r="J86" s="114"/>
      <c r="K86" s="196">
        <v>61247.95</v>
      </c>
      <c r="L86" s="222"/>
      <c r="M86" s="125" t="s">
        <v>269</v>
      </c>
      <c r="N86" s="114"/>
      <c r="O86" s="114">
        <v>61247.95</v>
      </c>
      <c r="P86" s="114">
        <v>-61247.95</v>
      </c>
      <c r="Q86" s="114"/>
      <c r="R86" s="114"/>
      <c r="S86" s="114"/>
      <c r="T86" s="145"/>
      <c r="U86" s="319"/>
      <c r="V86" s="145"/>
    </row>
    <row r="87" spans="1:22" ht="31.5" x14ac:dyDescent="0.25">
      <c r="A87" s="111"/>
      <c r="B87" s="273"/>
      <c r="C87" s="274" t="s">
        <v>469</v>
      </c>
      <c r="D87" s="275"/>
      <c r="E87" s="274"/>
      <c r="F87" s="275"/>
      <c r="G87" s="114">
        <v>-1129283.3700000001</v>
      </c>
      <c r="H87" s="274" t="s">
        <v>469</v>
      </c>
      <c r="I87" s="114">
        <v>1129283.3700000001</v>
      </c>
      <c r="J87" s="114"/>
      <c r="K87" s="196">
        <v>1129283.3700000001</v>
      </c>
      <c r="L87" s="222"/>
      <c r="M87" s="125" t="s">
        <v>468</v>
      </c>
      <c r="N87" s="114"/>
      <c r="O87" s="114">
        <v>1129283.3700000001</v>
      </c>
      <c r="P87" s="114">
        <v>-1129283.3700000001</v>
      </c>
      <c r="Q87" s="114"/>
      <c r="R87" s="114"/>
      <c r="S87" s="114"/>
      <c r="T87" s="145"/>
      <c r="U87" s="319"/>
      <c r="V87" s="145"/>
    </row>
    <row r="88" spans="1:22" ht="31.5" x14ac:dyDescent="0.25">
      <c r="A88" s="111"/>
      <c r="B88" s="273"/>
      <c r="C88" s="274" t="s">
        <v>213</v>
      </c>
      <c r="D88" s="275"/>
      <c r="E88" s="274"/>
      <c r="F88" s="275"/>
      <c r="G88" s="114">
        <v>-10151.5</v>
      </c>
      <c r="H88" s="274" t="s">
        <v>213</v>
      </c>
      <c r="I88" s="114">
        <v>10151.5</v>
      </c>
      <c r="J88" s="114"/>
      <c r="K88" s="196">
        <v>10151.5</v>
      </c>
      <c r="L88" s="222"/>
      <c r="M88" s="125" t="s">
        <v>470</v>
      </c>
      <c r="N88" s="114"/>
      <c r="O88" s="114">
        <v>10151.5</v>
      </c>
      <c r="P88" s="114">
        <v>-10151.5</v>
      </c>
      <c r="Q88" s="114"/>
      <c r="R88" s="114"/>
      <c r="S88" s="114"/>
      <c r="T88" s="145"/>
      <c r="U88" s="319"/>
      <c r="V88" s="145"/>
    </row>
    <row r="89" spans="1:22" s="318" customFormat="1" ht="31.5" x14ac:dyDescent="0.25">
      <c r="A89" s="278"/>
      <c r="B89" s="271"/>
      <c r="C89" s="272" t="s">
        <v>54</v>
      </c>
      <c r="D89" s="272"/>
      <c r="E89" s="272"/>
      <c r="F89" s="275">
        <f>IFERROR(VLOOKUP(B89,'WORKING PAPER FC1'!$I$11:$J$12,2,FALSE),0)</f>
        <v>0</v>
      </c>
      <c r="G89" s="120"/>
      <c r="H89" s="121"/>
      <c r="I89" s="120"/>
      <c r="J89" s="120"/>
      <c r="K89" s="198"/>
      <c r="L89" s="221"/>
      <c r="M89" s="120"/>
      <c r="N89" s="120"/>
      <c r="O89" s="120"/>
      <c r="P89" s="120"/>
      <c r="Q89" s="114"/>
      <c r="R89" s="120"/>
      <c r="S89" s="120"/>
      <c r="T89" s="317"/>
      <c r="U89" s="317"/>
      <c r="V89" s="317"/>
    </row>
    <row r="90" spans="1:22" x14ac:dyDescent="0.25">
      <c r="A90" s="111"/>
      <c r="B90" s="273">
        <v>1060502000</v>
      </c>
      <c r="C90" s="274" t="s">
        <v>295</v>
      </c>
      <c r="D90" s="274"/>
      <c r="E90" s="274"/>
      <c r="F90" s="275"/>
      <c r="G90" s="114">
        <v>490000</v>
      </c>
      <c r="H90" s="128"/>
      <c r="I90" s="114"/>
      <c r="J90" s="114"/>
      <c r="K90" s="196">
        <f t="shared" ref="K90:K98" si="10">J90</f>
        <v>0</v>
      </c>
      <c r="L90" s="222">
        <v>1060502000</v>
      </c>
      <c r="M90" s="114" t="s">
        <v>295</v>
      </c>
      <c r="N90" s="114">
        <v>490000</v>
      </c>
      <c r="O90" s="114"/>
      <c r="P90" s="114">
        <v>490000</v>
      </c>
      <c r="Q90" s="114"/>
      <c r="R90" s="114"/>
      <c r="S90" s="114">
        <v>490000</v>
      </c>
      <c r="T90" s="145"/>
      <c r="U90" s="145"/>
      <c r="V90" s="145"/>
    </row>
    <row r="91" spans="1:22" x14ac:dyDescent="0.25">
      <c r="A91" s="111"/>
      <c r="B91" s="273">
        <v>3010101000</v>
      </c>
      <c r="C91" s="274" t="s">
        <v>397</v>
      </c>
      <c r="D91" s="274"/>
      <c r="E91" s="274"/>
      <c r="F91" s="275"/>
      <c r="G91" s="114">
        <v>34000</v>
      </c>
      <c r="H91" s="128"/>
      <c r="I91" s="114"/>
      <c r="J91" s="114"/>
      <c r="K91" s="196"/>
      <c r="L91" s="222">
        <v>2020101000</v>
      </c>
      <c r="M91" s="114" t="s">
        <v>128</v>
      </c>
      <c r="N91" s="114">
        <f>G91</f>
        <v>34000</v>
      </c>
      <c r="O91" s="114"/>
      <c r="P91" s="114"/>
      <c r="Q91" s="114">
        <f>N91*-1</f>
        <v>-34000</v>
      </c>
      <c r="R91" s="114"/>
      <c r="S91" s="114">
        <f>G91</f>
        <v>34000</v>
      </c>
      <c r="T91" s="145"/>
      <c r="U91" s="145"/>
      <c r="V91" s="145"/>
    </row>
    <row r="92" spans="1:22" ht="31.5" x14ac:dyDescent="0.25">
      <c r="A92" s="111"/>
      <c r="B92" s="273">
        <v>5020322001</v>
      </c>
      <c r="C92" s="128" t="s">
        <v>215</v>
      </c>
      <c r="D92" s="274"/>
      <c r="E92" s="274"/>
      <c r="F92" s="275"/>
      <c r="G92" s="114">
        <v>13200</v>
      </c>
      <c r="H92" s="128" t="s">
        <v>215</v>
      </c>
      <c r="I92" s="114"/>
      <c r="J92" s="114">
        <f t="shared" ref="J92:J98" si="11">G92</f>
        <v>13200</v>
      </c>
      <c r="K92" s="196">
        <f t="shared" si="10"/>
        <v>13200</v>
      </c>
      <c r="L92" s="222">
        <v>2010101000</v>
      </c>
      <c r="M92" s="114" t="s">
        <v>25</v>
      </c>
      <c r="N92" s="114">
        <f t="shared" ref="N92:N98" si="12">J92</f>
        <v>13200</v>
      </c>
      <c r="O92" s="114"/>
      <c r="P92" s="114"/>
      <c r="Q92" s="114">
        <f>N92*-1</f>
        <v>-13200</v>
      </c>
      <c r="R92" s="114"/>
      <c r="S92" s="114"/>
      <c r="T92" s="145"/>
      <c r="U92" s="145"/>
      <c r="V92" s="145"/>
    </row>
    <row r="93" spans="1:22" ht="47.25" x14ac:dyDescent="0.25">
      <c r="A93" s="111"/>
      <c r="B93" s="273">
        <v>5020321099</v>
      </c>
      <c r="C93" s="274" t="s">
        <v>217</v>
      </c>
      <c r="D93" s="274">
        <v>0</v>
      </c>
      <c r="E93" s="274"/>
      <c r="F93" s="275">
        <v>0</v>
      </c>
      <c r="G93" s="114">
        <v>190355</v>
      </c>
      <c r="H93" s="274" t="s">
        <v>217</v>
      </c>
      <c r="I93" s="114"/>
      <c r="J93" s="114">
        <f t="shared" si="11"/>
        <v>190355</v>
      </c>
      <c r="K93" s="196">
        <f t="shared" si="10"/>
        <v>190355</v>
      </c>
      <c r="L93" s="222">
        <v>1040599000</v>
      </c>
      <c r="M93" s="125" t="s">
        <v>218</v>
      </c>
      <c r="N93" s="114">
        <f t="shared" si="12"/>
        <v>190355</v>
      </c>
      <c r="O93" s="114"/>
      <c r="P93" s="114">
        <f>N93</f>
        <v>190355</v>
      </c>
      <c r="Q93" s="114"/>
      <c r="R93" s="114"/>
      <c r="S93" s="114"/>
      <c r="T93" s="145"/>
      <c r="U93" s="145"/>
      <c r="V93" s="145"/>
    </row>
    <row r="94" spans="1:22" ht="47.25" x14ac:dyDescent="0.25">
      <c r="A94" s="111"/>
      <c r="B94" s="273">
        <v>5020308000</v>
      </c>
      <c r="C94" s="274" t="s">
        <v>213</v>
      </c>
      <c r="D94" s="274">
        <v>0</v>
      </c>
      <c r="E94" s="274"/>
      <c r="F94" s="275">
        <v>0</v>
      </c>
      <c r="G94" s="114">
        <v>433124.75</v>
      </c>
      <c r="H94" s="274" t="s">
        <v>45</v>
      </c>
      <c r="I94" s="114"/>
      <c r="J94" s="114">
        <f t="shared" si="11"/>
        <v>433124.75</v>
      </c>
      <c r="K94" s="196">
        <f t="shared" si="10"/>
        <v>433124.75</v>
      </c>
      <c r="L94" s="222">
        <v>2010101000</v>
      </c>
      <c r="M94" s="114" t="s">
        <v>25</v>
      </c>
      <c r="N94" s="114">
        <f t="shared" si="12"/>
        <v>433124.75</v>
      </c>
      <c r="O94" s="114"/>
      <c r="P94" s="114"/>
      <c r="Q94" s="114">
        <f>N94*-1</f>
        <v>-433124.75</v>
      </c>
      <c r="R94" s="114"/>
      <c r="S94" s="114"/>
      <c r="T94" s="145"/>
      <c r="U94" s="145"/>
      <c r="V94" s="145"/>
    </row>
    <row r="95" spans="1:22" x14ac:dyDescent="0.25">
      <c r="A95" s="111"/>
      <c r="B95" s="273">
        <v>5020305000</v>
      </c>
      <c r="C95" s="274" t="s">
        <v>31</v>
      </c>
      <c r="D95" s="274"/>
      <c r="E95" s="274"/>
      <c r="F95" s="275"/>
      <c r="G95" s="114">
        <v>1698217.3299999998</v>
      </c>
      <c r="H95" s="274" t="s">
        <v>31</v>
      </c>
      <c r="I95" s="114"/>
      <c r="J95" s="114">
        <f t="shared" si="11"/>
        <v>1698217.3299999998</v>
      </c>
      <c r="K95" s="196">
        <f t="shared" si="10"/>
        <v>1698217.3299999998</v>
      </c>
      <c r="L95" s="222">
        <v>2010101000</v>
      </c>
      <c r="M95" s="114" t="s">
        <v>25</v>
      </c>
      <c r="N95" s="114">
        <f t="shared" si="12"/>
        <v>1698217.3299999998</v>
      </c>
      <c r="O95" s="114"/>
      <c r="P95" s="114"/>
      <c r="Q95" s="114">
        <f>N95*-1</f>
        <v>-1698217.3299999998</v>
      </c>
      <c r="R95" s="114"/>
      <c r="S95" s="114"/>
      <c r="T95" s="145"/>
      <c r="U95" s="145"/>
      <c r="V95" s="145"/>
    </row>
    <row r="96" spans="1:22" ht="31.5" x14ac:dyDescent="0.25">
      <c r="A96" s="111"/>
      <c r="B96" s="273">
        <v>5020307000</v>
      </c>
      <c r="C96" s="274" t="s">
        <v>43</v>
      </c>
      <c r="D96" s="274"/>
      <c r="E96" s="274"/>
      <c r="F96" s="275"/>
      <c r="G96" s="114">
        <v>174620.15</v>
      </c>
      <c r="H96" s="274" t="s">
        <v>43</v>
      </c>
      <c r="I96" s="114"/>
      <c r="J96" s="114">
        <f t="shared" si="11"/>
        <v>174620.15</v>
      </c>
      <c r="K96" s="196">
        <f t="shared" si="10"/>
        <v>174620.15</v>
      </c>
      <c r="L96" s="222">
        <v>2010101000</v>
      </c>
      <c r="M96" s="114" t="s">
        <v>25</v>
      </c>
      <c r="N96" s="114">
        <f t="shared" si="12"/>
        <v>174620.15</v>
      </c>
      <c r="O96" s="114"/>
      <c r="P96" s="114"/>
      <c r="Q96" s="114">
        <f>N96*-1</f>
        <v>-174620.15</v>
      </c>
      <c r="R96" s="114"/>
      <c r="S96" s="114"/>
      <c r="T96" s="145"/>
      <c r="U96" s="145"/>
      <c r="V96" s="145"/>
    </row>
    <row r="97" spans="1:22" ht="31.5" x14ac:dyDescent="0.25">
      <c r="A97" s="111"/>
      <c r="B97" s="273">
        <v>5020399000</v>
      </c>
      <c r="C97" s="274" t="s">
        <v>33</v>
      </c>
      <c r="D97" s="274"/>
      <c r="E97" s="274"/>
      <c r="F97" s="275">
        <v>0</v>
      </c>
      <c r="G97" s="114">
        <v>-48094270.140000001</v>
      </c>
      <c r="H97" s="274" t="s">
        <v>33</v>
      </c>
      <c r="I97" s="114"/>
      <c r="J97" s="114">
        <f t="shared" si="11"/>
        <v>-48094270.140000001</v>
      </c>
      <c r="K97" s="196">
        <f t="shared" si="10"/>
        <v>-48094270.140000001</v>
      </c>
      <c r="L97" s="222">
        <v>2010101000</v>
      </c>
      <c r="M97" s="114" t="s">
        <v>25</v>
      </c>
      <c r="N97" s="114">
        <f t="shared" si="12"/>
        <v>-48094270.140000001</v>
      </c>
      <c r="O97" s="114"/>
      <c r="P97" s="114"/>
      <c r="Q97" s="114">
        <f>N97*-1</f>
        <v>48094270.140000001</v>
      </c>
      <c r="R97" s="114"/>
      <c r="S97" s="114"/>
      <c r="T97" s="145"/>
      <c r="U97" s="145"/>
      <c r="V97" s="145"/>
    </row>
    <row r="98" spans="1:22" x14ac:dyDescent="0.25">
      <c r="A98" s="111"/>
      <c r="B98" s="273">
        <v>5021601000</v>
      </c>
      <c r="C98" s="274" t="s">
        <v>50</v>
      </c>
      <c r="D98" s="274"/>
      <c r="E98" s="274"/>
      <c r="F98" s="275"/>
      <c r="G98" s="114">
        <v>9774.39</v>
      </c>
      <c r="H98" s="274" t="s">
        <v>50</v>
      </c>
      <c r="I98" s="114"/>
      <c r="J98" s="114">
        <f t="shared" si="11"/>
        <v>9774.39</v>
      </c>
      <c r="K98" s="196">
        <f t="shared" si="10"/>
        <v>9774.39</v>
      </c>
      <c r="L98" s="222">
        <v>2010101000</v>
      </c>
      <c r="M98" s="114" t="s">
        <v>25</v>
      </c>
      <c r="N98" s="114">
        <f t="shared" si="12"/>
        <v>9774.39</v>
      </c>
      <c r="O98" s="114"/>
      <c r="P98" s="114"/>
      <c r="Q98" s="114">
        <f>N98*-1</f>
        <v>-9774.39</v>
      </c>
      <c r="R98" s="114"/>
      <c r="S98" s="114"/>
      <c r="T98" s="145"/>
      <c r="U98" s="145"/>
      <c r="V98" s="145"/>
    </row>
    <row r="99" spans="1:22" ht="31.5" x14ac:dyDescent="0.25">
      <c r="A99" s="111"/>
      <c r="B99" s="273"/>
      <c r="C99" s="274" t="s">
        <v>171</v>
      </c>
      <c r="D99" s="274"/>
      <c r="E99" s="274"/>
      <c r="F99" s="275"/>
      <c r="G99" s="114">
        <f>' FC 7 2024'!E19</f>
        <v>-995484.5</v>
      </c>
      <c r="H99" s="274" t="s">
        <v>366</v>
      </c>
      <c r="I99" s="114"/>
      <c r="J99" s="114">
        <v>1409209.62</v>
      </c>
      <c r="K99" s="196">
        <v>-995484.5</v>
      </c>
      <c r="L99" s="222"/>
      <c r="M99" s="114" t="s">
        <v>365</v>
      </c>
      <c r="N99" s="114">
        <v>995484.5</v>
      </c>
      <c r="O99" s="114"/>
      <c r="P99" s="114">
        <v>-995484.5</v>
      </c>
      <c r="Q99" s="114"/>
      <c r="R99" s="114"/>
      <c r="S99" s="114"/>
      <c r="T99" s="145"/>
      <c r="U99" s="145"/>
      <c r="V99" s="145"/>
    </row>
    <row r="100" spans="1:22" s="318" customFormat="1" ht="31.5" x14ac:dyDescent="0.25">
      <c r="A100" s="278"/>
      <c r="B100" s="271"/>
      <c r="C100" s="272" t="s">
        <v>58</v>
      </c>
      <c r="D100" s="272"/>
      <c r="E100" s="272"/>
      <c r="F100" s="275"/>
      <c r="G100" s="120"/>
      <c r="H100" s="121"/>
      <c r="I100" s="120"/>
      <c r="J100" s="120"/>
      <c r="K100" s="198"/>
      <c r="L100" s="221"/>
      <c r="M100" s="121"/>
      <c r="N100" s="120"/>
      <c r="O100" s="120"/>
      <c r="P100" s="120"/>
      <c r="Q100" s="120"/>
      <c r="R100" s="120"/>
      <c r="S100" s="120"/>
      <c r="T100" s="317"/>
      <c r="U100" s="317"/>
      <c r="V100" s="317"/>
    </row>
    <row r="101" spans="1:22" x14ac:dyDescent="0.25">
      <c r="A101" s="111"/>
      <c r="B101" s="273">
        <v>5021499000</v>
      </c>
      <c r="C101" s="274" t="s">
        <v>441</v>
      </c>
      <c r="D101" s="274"/>
      <c r="E101" s="274"/>
      <c r="F101" s="275"/>
      <c r="G101" s="129">
        <f>-309835072.21+'WORKING PAPER FC1'!AV18+'WORKING PAPER FC1'!AZ10+'WORKING PAPER FC1'!BD17+'WORKING PAPER FC1'!BD18+'WORKING PAPER FC1'!BH3+'WORKING PAPER FC1'!BH4+'WORKING PAPER FC1'!BL8+'WORKING PAPER FC1'!BP7+'FC 3 2024'!D30</f>
        <v>-303239476.65999991</v>
      </c>
      <c r="H101" s="128" t="s">
        <v>34</v>
      </c>
      <c r="I101" s="114">
        <f>G101*-1</f>
        <v>303239476.65999991</v>
      </c>
      <c r="J101" s="114"/>
      <c r="K101" s="196">
        <f t="shared" ref="K101:K105" si="13">G101</f>
        <v>-303239476.65999991</v>
      </c>
      <c r="L101" s="382">
        <v>1030303000</v>
      </c>
      <c r="M101" s="125" t="s">
        <v>60</v>
      </c>
      <c r="N101" s="114"/>
      <c r="O101" s="114">
        <f>I101</f>
        <v>303239476.65999991</v>
      </c>
      <c r="P101" s="114">
        <f>-O101-N101</f>
        <v>-303239476.65999991</v>
      </c>
      <c r="Q101" s="114">
        <f>N101</f>
        <v>0</v>
      </c>
      <c r="R101" s="114"/>
      <c r="S101" s="114"/>
      <c r="T101" s="145"/>
      <c r="U101" s="145"/>
      <c r="V101" s="145"/>
    </row>
    <row r="102" spans="1:22" ht="31.5" x14ac:dyDescent="0.25">
      <c r="A102" s="111"/>
      <c r="B102" s="273">
        <v>3010101000</v>
      </c>
      <c r="C102" s="274" t="s">
        <v>442</v>
      </c>
      <c r="D102" s="274"/>
      <c r="E102" s="274"/>
      <c r="F102" s="275"/>
      <c r="G102" s="129">
        <f>21720897.24+'WORKING PAPER FC1'!BP16</f>
        <v>21610980.209999997</v>
      </c>
      <c r="H102" s="128" t="s">
        <v>34</v>
      </c>
      <c r="I102" s="114"/>
      <c r="J102" s="114"/>
      <c r="K102" s="196"/>
      <c r="L102" s="382">
        <v>1030303000</v>
      </c>
      <c r="M102" s="125" t="s">
        <v>60</v>
      </c>
      <c r="N102" s="114">
        <f>G102</f>
        <v>21610980.209999997</v>
      </c>
      <c r="O102" s="114"/>
      <c r="P102" s="114">
        <f>-O102+N102</f>
        <v>21610980.209999997</v>
      </c>
      <c r="Q102" s="114"/>
      <c r="R102" s="114"/>
      <c r="S102" s="114">
        <f>P102</f>
        <v>21610980.209999997</v>
      </c>
      <c r="T102" s="145"/>
      <c r="U102" s="145"/>
      <c r="V102" s="145"/>
    </row>
    <row r="103" spans="1:22" x14ac:dyDescent="0.25">
      <c r="A103" s="111"/>
      <c r="B103" s="273">
        <v>5021499000</v>
      </c>
      <c r="C103" s="274" t="s">
        <v>61</v>
      </c>
      <c r="D103" s="274"/>
      <c r="E103" s="274"/>
      <c r="F103" s="275"/>
      <c r="G103" s="129">
        <v>-30640800</v>
      </c>
      <c r="H103" s="128" t="s">
        <v>34</v>
      </c>
      <c r="I103" s="114">
        <f>G103*-1</f>
        <v>30640800</v>
      </c>
      <c r="J103" s="114"/>
      <c r="K103" s="196">
        <f t="shared" si="13"/>
        <v>-30640800</v>
      </c>
      <c r="L103" s="222">
        <v>1990103000</v>
      </c>
      <c r="M103" s="125" t="s">
        <v>62</v>
      </c>
      <c r="N103" s="114"/>
      <c r="O103" s="114">
        <f t="shared" ref="O103:O107" si="14">I103</f>
        <v>30640800</v>
      </c>
      <c r="P103" s="114">
        <f>-O103</f>
        <v>-30640800</v>
      </c>
      <c r="Q103" s="114"/>
      <c r="R103" s="114"/>
      <c r="S103" s="114"/>
      <c r="T103" s="145"/>
      <c r="U103" s="145"/>
      <c r="V103" s="145"/>
    </row>
    <row r="104" spans="1:22" x14ac:dyDescent="0.25">
      <c r="A104" s="111"/>
      <c r="B104" s="273">
        <v>5021499000</v>
      </c>
      <c r="C104" s="274" t="s">
        <v>440</v>
      </c>
      <c r="D104" s="274"/>
      <c r="E104" s="274"/>
      <c r="F104" s="275"/>
      <c r="G104" s="129">
        <f>-99646.95+'WORKING PAPER FC1'!AZ22</f>
        <v>-149699.16</v>
      </c>
      <c r="H104" s="128" t="s">
        <v>34</v>
      </c>
      <c r="I104" s="114">
        <f>G104*-1</f>
        <v>149699.16</v>
      </c>
      <c r="J104" s="114"/>
      <c r="K104" s="196">
        <f t="shared" si="13"/>
        <v>-149699.16</v>
      </c>
      <c r="L104" s="222">
        <v>1010102000</v>
      </c>
      <c r="M104" s="125" t="s">
        <v>64</v>
      </c>
      <c r="N104" s="114"/>
      <c r="O104" s="114">
        <f t="shared" si="14"/>
        <v>149699.16</v>
      </c>
      <c r="P104" s="114">
        <f>-O104</f>
        <v>-149699.16</v>
      </c>
      <c r="Q104" s="114"/>
      <c r="R104" s="114"/>
      <c r="S104" s="114"/>
      <c r="T104" s="145"/>
      <c r="U104" s="145"/>
      <c r="V104" s="145"/>
    </row>
    <row r="105" spans="1:22" ht="31.5" x14ac:dyDescent="0.25">
      <c r="A105" s="111"/>
      <c r="B105" s="273">
        <v>5029999099</v>
      </c>
      <c r="C105" s="274" t="s">
        <v>440</v>
      </c>
      <c r="D105" s="274"/>
      <c r="E105" s="274"/>
      <c r="F105" s="275"/>
      <c r="G105" s="129">
        <f>-144782.52+'WORKING PAPER FC1'!AV14</f>
        <v>-194770.07</v>
      </c>
      <c r="H105" s="128" t="s">
        <v>360</v>
      </c>
      <c r="I105" s="114"/>
      <c r="J105" s="114">
        <f>G105</f>
        <v>-194770.07</v>
      </c>
      <c r="K105" s="196">
        <f t="shared" si="13"/>
        <v>-194770.07</v>
      </c>
      <c r="L105" s="222">
        <v>1010102000</v>
      </c>
      <c r="M105" s="125" t="s">
        <v>64</v>
      </c>
      <c r="N105" s="114">
        <f>G105</f>
        <v>-194770.07</v>
      </c>
      <c r="O105" s="114"/>
      <c r="P105" s="114">
        <f>N105</f>
        <v>-194770.07</v>
      </c>
      <c r="Q105" s="114"/>
      <c r="R105" s="114"/>
      <c r="S105" s="114"/>
      <c r="T105" s="145"/>
      <c r="U105" s="145"/>
      <c r="V105" s="145"/>
    </row>
    <row r="106" spans="1:22" hidden="1" x14ac:dyDescent="0.25">
      <c r="A106" s="111"/>
      <c r="B106" s="273">
        <v>5021601000</v>
      </c>
      <c r="C106" s="274" t="s">
        <v>65</v>
      </c>
      <c r="D106" s="274"/>
      <c r="E106" s="274"/>
      <c r="F106" s="275"/>
      <c r="G106" s="129"/>
      <c r="H106" s="128" t="s">
        <v>50</v>
      </c>
      <c r="I106" s="114"/>
      <c r="J106" s="114"/>
      <c r="K106" s="196">
        <f>-I106-J106</f>
        <v>0</v>
      </c>
      <c r="L106" s="222">
        <v>1990102000</v>
      </c>
      <c r="M106" s="125" t="s">
        <v>66</v>
      </c>
      <c r="N106" s="114">
        <f>J106</f>
        <v>0</v>
      </c>
      <c r="O106" s="114">
        <f t="shared" si="14"/>
        <v>0</v>
      </c>
      <c r="P106" s="114">
        <f>-(O106+N106)</f>
        <v>0</v>
      </c>
      <c r="Q106" s="114"/>
      <c r="R106" s="114"/>
      <c r="S106" s="114"/>
      <c r="T106" s="145"/>
      <c r="U106" s="145"/>
      <c r="V106" s="145"/>
    </row>
    <row r="107" spans="1:22" hidden="1" x14ac:dyDescent="0.25">
      <c r="A107" s="111"/>
      <c r="B107" s="273">
        <v>5021499000</v>
      </c>
      <c r="C107" s="274" t="s">
        <v>263</v>
      </c>
      <c r="D107" s="274"/>
      <c r="E107" s="274"/>
      <c r="F107" s="275"/>
      <c r="G107" s="129"/>
      <c r="H107" s="128" t="s">
        <v>34</v>
      </c>
      <c r="I107" s="114"/>
      <c r="J107" s="114"/>
      <c r="K107" s="196">
        <f>-I107-J107</f>
        <v>0</v>
      </c>
      <c r="L107" s="222">
        <v>1039999000</v>
      </c>
      <c r="M107" s="125" t="s">
        <v>168</v>
      </c>
      <c r="N107" s="114"/>
      <c r="O107" s="114">
        <f t="shared" si="14"/>
        <v>0</v>
      </c>
      <c r="P107" s="114">
        <f>-(O107+N107)</f>
        <v>0</v>
      </c>
      <c r="Q107" s="114"/>
      <c r="R107" s="114"/>
      <c r="S107" s="114"/>
      <c r="T107" s="145"/>
      <c r="U107" s="145"/>
      <c r="V107" s="145"/>
    </row>
    <row r="108" spans="1:22" ht="31.5" x14ac:dyDescent="0.25">
      <c r="A108" s="111"/>
      <c r="B108" s="273">
        <v>5021499000</v>
      </c>
      <c r="C108" s="274" t="s">
        <v>438</v>
      </c>
      <c r="D108" s="274"/>
      <c r="E108" s="274"/>
      <c r="F108" s="275"/>
      <c r="G108" s="129">
        <f>'WORKING PAPER FC1'!AV20+'WORKING PAPER FC1'!AZ15+'WORKING PAPER FC1'!BD15+'WORKING PAPER FC1'!BL11</f>
        <v>-26124531.469999999</v>
      </c>
      <c r="H108" s="128" t="s">
        <v>34</v>
      </c>
      <c r="I108" s="114"/>
      <c r="J108" s="114"/>
      <c r="K108" s="196">
        <f>-I108-J108</f>
        <v>0</v>
      </c>
      <c r="L108" s="222">
        <v>1039903000</v>
      </c>
      <c r="M108" s="125" t="s">
        <v>276</v>
      </c>
      <c r="N108" s="114"/>
      <c r="O108" s="114">
        <f>G108*-1</f>
        <v>26124531.469999999</v>
      </c>
      <c r="P108" s="114">
        <f>-(O108+N108)</f>
        <v>-26124531.469999999</v>
      </c>
      <c r="Q108" s="114"/>
      <c r="R108" s="114"/>
      <c r="S108" s="114">
        <f>P108</f>
        <v>-26124531.469999999</v>
      </c>
      <c r="T108" s="145"/>
      <c r="U108" s="145"/>
      <c r="V108" s="145"/>
    </row>
    <row r="109" spans="1:22" x14ac:dyDescent="0.25">
      <c r="A109" s="111"/>
      <c r="B109" s="273"/>
      <c r="C109" s="274" t="s">
        <v>387</v>
      </c>
      <c r="D109" s="274"/>
      <c r="E109" s="274"/>
      <c r="F109" s="275"/>
      <c r="G109" s="129">
        <v>-9509126.879999999</v>
      </c>
      <c r="H109" s="128"/>
      <c r="I109" s="114"/>
      <c r="J109" s="114"/>
      <c r="K109" s="196">
        <v>0</v>
      </c>
      <c r="L109" s="222">
        <v>2020105000</v>
      </c>
      <c r="M109" s="125" t="s">
        <v>68</v>
      </c>
      <c r="N109" s="114"/>
      <c r="O109" s="114">
        <v>9509126.879999999</v>
      </c>
      <c r="P109" s="114">
        <v>-9509126.879999999</v>
      </c>
      <c r="Q109" s="114"/>
      <c r="R109" s="114"/>
      <c r="S109" s="114">
        <v>-9509126.879999999</v>
      </c>
      <c r="T109" s="145"/>
      <c r="U109" s="145"/>
      <c r="V109" s="145"/>
    </row>
    <row r="110" spans="1:22" x14ac:dyDescent="0.25">
      <c r="A110" s="111"/>
      <c r="B110" s="273"/>
      <c r="C110" s="274" t="s">
        <v>183</v>
      </c>
      <c r="D110" s="274"/>
      <c r="E110" s="274"/>
      <c r="F110" s="275"/>
      <c r="G110" s="129">
        <v>9879405.8499999996</v>
      </c>
      <c r="H110" s="128"/>
      <c r="I110" s="114"/>
      <c r="J110" s="114"/>
      <c r="K110" s="196">
        <v>0</v>
      </c>
      <c r="L110" s="222"/>
      <c r="M110" s="125" t="s">
        <v>182</v>
      </c>
      <c r="N110" s="114">
        <v>9879405.8499999996</v>
      </c>
      <c r="O110" s="114"/>
      <c r="P110" s="114"/>
      <c r="Q110" s="114">
        <v>-9879405.8499999996</v>
      </c>
      <c r="R110" s="114"/>
      <c r="S110" s="114">
        <v>9879405.8499999996</v>
      </c>
      <c r="T110" s="145"/>
      <c r="U110" s="145"/>
      <c r="V110" s="145"/>
    </row>
    <row r="111" spans="1:22" ht="31.5" x14ac:dyDescent="0.25">
      <c r="A111" s="111"/>
      <c r="B111" s="273"/>
      <c r="C111" s="274" t="s">
        <v>451</v>
      </c>
      <c r="D111" s="274"/>
      <c r="E111" s="274"/>
      <c r="F111" s="275"/>
      <c r="G111" s="129">
        <v>40374.65</v>
      </c>
      <c r="H111" s="128" t="s">
        <v>453</v>
      </c>
      <c r="I111" s="114"/>
      <c r="J111" s="114">
        <v>40374.65</v>
      </c>
      <c r="K111" s="196">
        <v>-40374.65</v>
      </c>
      <c r="L111" s="222"/>
      <c r="M111" s="125" t="s">
        <v>452</v>
      </c>
      <c r="N111" s="114">
        <v>40374.65</v>
      </c>
      <c r="O111" s="114"/>
      <c r="P111" s="114"/>
      <c r="Q111" s="114">
        <v>-40374.65</v>
      </c>
      <c r="R111" s="114"/>
      <c r="S111" s="114"/>
      <c r="T111" s="145"/>
      <c r="U111" s="145"/>
      <c r="V111" s="145"/>
    </row>
    <row r="112" spans="1:22" x14ac:dyDescent="0.25">
      <c r="A112" s="111"/>
      <c r="B112" s="273"/>
      <c r="C112" s="274" t="s">
        <v>451</v>
      </c>
      <c r="D112" s="274"/>
      <c r="E112" s="274"/>
      <c r="F112" s="275"/>
      <c r="G112" s="129">
        <v>54843.75</v>
      </c>
      <c r="H112" s="128" t="s">
        <v>42</v>
      </c>
      <c r="I112" s="114"/>
      <c r="J112" s="114">
        <v>54843.75</v>
      </c>
      <c r="K112" s="196">
        <v>-54843.75</v>
      </c>
      <c r="L112" s="222"/>
      <c r="M112" s="125" t="s">
        <v>452</v>
      </c>
      <c r="N112" s="114">
        <v>54843.75</v>
      </c>
      <c r="O112" s="114"/>
      <c r="P112" s="114"/>
      <c r="Q112" s="114">
        <v>-54843.75</v>
      </c>
      <c r="R112" s="114"/>
      <c r="S112" s="114"/>
      <c r="T112" s="145"/>
      <c r="U112" s="145"/>
      <c r="V112" s="145"/>
    </row>
    <row r="113" spans="1:22" x14ac:dyDescent="0.25">
      <c r="A113" s="111"/>
      <c r="B113" s="273"/>
      <c r="C113" s="274" t="s">
        <v>451</v>
      </c>
      <c r="D113" s="274"/>
      <c r="E113" s="274"/>
      <c r="F113" s="275"/>
      <c r="G113" s="129">
        <v>248183.44</v>
      </c>
      <c r="H113" s="128" t="s">
        <v>34</v>
      </c>
      <c r="I113" s="114"/>
      <c r="J113" s="114">
        <v>248183.44</v>
      </c>
      <c r="K113" s="196">
        <v>-248183.44</v>
      </c>
      <c r="L113" s="222"/>
      <c r="M113" s="125" t="s">
        <v>452</v>
      </c>
      <c r="N113" s="114">
        <v>248183.44</v>
      </c>
      <c r="O113" s="114"/>
      <c r="P113" s="114"/>
      <c r="Q113" s="114">
        <v>-248183.44</v>
      </c>
      <c r="R113" s="114"/>
      <c r="S113" s="114"/>
      <c r="T113" s="145"/>
      <c r="U113" s="145"/>
      <c r="V113" s="145"/>
    </row>
    <row r="114" spans="1:22" x14ac:dyDescent="0.25">
      <c r="A114" s="111"/>
      <c r="B114" s="273"/>
      <c r="C114" s="272" t="s">
        <v>70</v>
      </c>
      <c r="D114" s="272"/>
      <c r="E114" s="272"/>
      <c r="F114" s="275"/>
      <c r="G114" s="129"/>
      <c r="H114" s="128"/>
      <c r="I114" s="114"/>
      <c r="J114" s="114"/>
      <c r="K114" s="196"/>
      <c r="L114" s="222"/>
      <c r="M114" s="125"/>
      <c r="N114" s="114"/>
      <c r="O114" s="114"/>
      <c r="P114" s="114"/>
      <c r="Q114" s="114"/>
      <c r="R114" s="114"/>
      <c r="S114" s="114"/>
      <c r="T114" s="145"/>
      <c r="U114" s="145"/>
      <c r="V114" s="145"/>
    </row>
    <row r="115" spans="1:22" x14ac:dyDescent="0.25">
      <c r="A115" s="111"/>
      <c r="B115" s="273">
        <v>5021199000</v>
      </c>
      <c r="C115" s="110" t="s">
        <v>197</v>
      </c>
      <c r="D115" s="110"/>
      <c r="E115" s="110"/>
      <c r="F115" s="275"/>
      <c r="G115" s="413">
        <v>41648.33</v>
      </c>
      <c r="H115" s="110" t="s">
        <v>47</v>
      </c>
      <c r="I115" s="129"/>
      <c r="J115" s="114">
        <f>G115</f>
        <v>41648.33</v>
      </c>
      <c r="K115" s="196">
        <f>G115</f>
        <v>41648.33</v>
      </c>
      <c r="L115" s="222">
        <v>2010101000</v>
      </c>
      <c r="M115" s="125" t="s">
        <v>73</v>
      </c>
      <c r="N115" s="114">
        <f>G115</f>
        <v>41648.33</v>
      </c>
      <c r="O115" s="114"/>
      <c r="P115" s="114">
        <f>-O115</f>
        <v>0</v>
      </c>
      <c r="Q115" s="114">
        <f>-N115</f>
        <v>-41648.33</v>
      </c>
      <c r="R115" s="114"/>
      <c r="S115" s="114"/>
      <c r="T115" s="145"/>
      <c r="U115" s="145"/>
      <c r="V115" s="145"/>
    </row>
    <row r="116" spans="1:22" x14ac:dyDescent="0.25">
      <c r="A116" s="111"/>
      <c r="B116" s="273">
        <v>2010101000</v>
      </c>
      <c r="C116" s="110" t="s">
        <v>457</v>
      </c>
      <c r="D116" s="110"/>
      <c r="E116" s="110"/>
      <c r="F116" s="275"/>
      <c r="G116" s="129">
        <f>11383651.68+'WORKING PAPER FC1'!BP10</f>
        <v>13577135.779999999</v>
      </c>
      <c r="H116" s="110"/>
      <c r="I116" s="114"/>
      <c r="J116" s="114"/>
      <c r="K116" s="196">
        <f>J116-I116</f>
        <v>0</v>
      </c>
      <c r="L116" s="222">
        <v>2010101000</v>
      </c>
      <c r="M116" s="125" t="s">
        <v>73</v>
      </c>
      <c r="N116" s="114">
        <f>G116</f>
        <v>13577135.779999999</v>
      </c>
      <c r="O116" s="114">
        <f>I116</f>
        <v>0</v>
      </c>
      <c r="P116" s="114"/>
      <c r="Q116" s="114">
        <f>-N116</f>
        <v>-13577135.779999999</v>
      </c>
      <c r="R116" s="114"/>
      <c r="S116" s="114">
        <f>G116</f>
        <v>13577135.779999999</v>
      </c>
      <c r="T116" s="145"/>
      <c r="U116" s="145"/>
      <c r="V116" s="145"/>
    </row>
    <row r="117" spans="1:22" ht="47.25" x14ac:dyDescent="0.25">
      <c r="A117" s="111"/>
      <c r="B117" s="273"/>
      <c r="C117" s="110" t="s">
        <v>475</v>
      </c>
      <c r="D117" s="110"/>
      <c r="E117" s="110"/>
      <c r="F117" s="275"/>
      <c r="G117" s="129">
        <v>33067</v>
      </c>
      <c r="H117" s="110"/>
      <c r="I117" s="129"/>
      <c r="J117" s="114"/>
      <c r="K117" s="196"/>
      <c r="L117" s="222"/>
      <c r="M117" s="125" t="s">
        <v>73</v>
      </c>
      <c r="N117" s="114">
        <v>33067</v>
      </c>
      <c r="O117" s="114"/>
      <c r="P117" s="114"/>
      <c r="Q117" s="114">
        <f>N117*-1</f>
        <v>-33067</v>
      </c>
      <c r="R117" s="114"/>
      <c r="S117" s="114">
        <v>33067</v>
      </c>
      <c r="T117" s="145"/>
      <c r="U117" s="145"/>
      <c r="V117" s="145"/>
    </row>
    <row r="118" spans="1:22" ht="47.25" x14ac:dyDescent="0.25">
      <c r="A118" s="111"/>
      <c r="B118" s="273"/>
      <c r="C118" s="110" t="s">
        <v>476</v>
      </c>
      <c r="D118" s="110"/>
      <c r="E118" s="110"/>
      <c r="F118" s="275"/>
      <c r="G118" s="129">
        <v>-21195.08</v>
      </c>
      <c r="H118" s="110"/>
      <c r="I118" s="114"/>
      <c r="J118" s="114"/>
      <c r="K118" s="196"/>
      <c r="L118" s="222"/>
      <c r="M118" s="110" t="s">
        <v>477</v>
      </c>
      <c r="N118" s="114"/>
      <c r="O118" s="114">
        <v>21195.08</v>
      </c>
      <c r="P118" s="114">
        <f>O118*-1</f>
        <v>-21195.08</v>
      </c>
      <c r="Q118" s="114"/>
      <c r="R118" s="114"/>
      <c r="S118" s="114">
        <f>P118</f>
        <v>-21195.08</v>
      </c>
      <c r="T118" s="145"/>
      <c r="U118" s="145"/>
      <c r="V118" s="145"/>
    </row>
    <row r="119" spans="1:22" ht="31.5" x14ac:dyDescent="0.25">
      <c r="A119" s="111"/>
      <c r="B119" s="273"/>
      <c r="C119" s="110" t="s">
        <v>479</v>
      </c>
      <c r="D119" s="110"/>
      <c r="E119" s="110"/>
      <c r="F119" s="275"/>
      <c r="G119" s="129">
        <f>29723.92+'[30]Conso-BOAS 2024'!$D$69</f>
        <v>29723.759999999998</v>
      </c>
      <c r="H119" s="110" t="s">
        <v>34</v>
      </c>
      <c r="I119" s="114"/>
      <c r="J119" s="114">
        <v>29723.919999999998</v>
      </c>
      <c r="K119" s="196">
        <f>G119</f>
        <v>29723.759999999998</v>
      </c>
      <c r="L119" s="222"/>
      <c r="M119" s="110" t="s">
        <v>313</v>
      </c>
      <c r="N119" s="114">
        <v>29723.919999999998</v>
      </c>
      <c r="O119" s="114"/>
      <c r="P119" s="114">
        <f>G119</f>
        <v>29723.759999999998</v>
      </c>
      <c r="Q119" s="114"/>
      <c r="R119" s="114"/>
      <c r="S119" s="114"/>
      <c r="T119" s="145"/>
      <c r="U119" s="145"/>
      <c r="V119" s="145"/>
    </row>
    <row r="120" spans="1:22" ht="31.5" x14ac:dyDescent="0.25">
      <c r="A120" s="111"/>
      <c r="B120" s="273"/>
      <c r="C120" s="110" t="s">
        <v>478</v>
      </c>
      <c r="D120" s="110"/>
      <c r="E120" s="110"/>
      <c r="F120" s="275"/>
      <c r="G120" s="129">
        <v>547761.80000000005</v>
      </c>
      <c r="H120" s="110" t="s">
        <v>34</v>
      </c>
      <c r="I120" s="129"/>
      <c r="J120" s="114">
        <v>547761.80000000005</v>
      </c>
      <c r="K120" s="196">
        <f>G120</f>
        <v>547761.80000000005</v>
      </c>
      <c r="L120" s="222"/>
      <c r="M120" s="125" t="s">
        <v>60</v>
      </c>
      <c r="N120" s="114">
        <v>547761.80000000005</v>
      </c>
      <c r="O120" s="114"/>
      <c r="P120" s="114">
        <v>547761.80000000005</v>
      </c>
      <c r="Q120" s="114"/>
      <c r="R120" s="114"/>
      <c r="S120" s="114"/>
      <c r="T120" s="145"/>
      <c r="U120" s="145"/>
      <c r="V120" s="145"/>
    </row>
    <row r="121" spans="1:22" ht="31.5" x14ac:dyDescent="0.25">
      <c r="A121" s="111"/>
      <c r="B121" s="273"/>
      <c r="C121" s="110" t="s">
        <v>480</v>
      </c>
      <c r="D121" s="110"/>
      <c r="E121" s="110"/>
      <c r="F121" s="275"/>
      <c r="G121" s="129">
        <v>-10578337.15</v>
      </c>
      <c r="H121" s="110" t="s">
        <v>34</v>
      </c>
      <c r="I121" s="114">
        <v>10578337.15</v>
      </c>
      <c r="J121" s="114"/>
      <c r="K121" s="196">
        <f>G121</f>
        <v>-10578337.15</v>
      </c>
      <c r="L121" s="222"/>
      <c r="M121" s="125" t="s">
        <v>60</v>
      </c>
      <c r="N121" s="114"/>
      <c r="O121" s="114">
        <v>10578337.15</v>
      </c>
      <c r="P121" s="114">
        <f t="shared" ref="P121" si="15">N121</f>
        <v>0</v>
      </c>
      <c r="Q121" s="114">
        <f>O121</f>
        <v>10578337.15</v>
      </c>
      <c r="R121" s="114"/>
      <c r="S121" s="114"/>
      <c r="T121" s="145"/>
      <c r="U121" s="145"/>
      <c r="V121" s="145"/>
    </row>
    <row r="122" spans="1:22" ht="31.5" x14ac:dyDescent="0.25">
      <c r="A122" s="111"/>
      <c r="B122" s="273"/>
      <c r="C122" s="110" t="s">
        <v>311</v>
      </c>
      <c r="D122" s="110"/>
      <c r="E122" s="110"/>
      <c r="F122" s="275"/>
      <c r="G122" s="129">
        <v>-189262430.54000002</v>
      </c>
      <c r="H122" s="110" t="s">
        <v>34</v>
      </c>
      <c r="I122" s="114">
        <v>189262430.54000002</v>
      </c>
      <c r="J122" s="114"/>
      <c r="K122" s="196">
        <f>G122</f>
        <v>-189262430.54000002</v>
      </c>
      <c r="L122" s="222"/>
      <c r="M122" s="125" t="s">
        <v>313</v>
      </c>
      <c r="N122" s="114"/>
      <c r="O122" s="114">
        <v>189262430.54000002</v>
      </c>
      <c r="P122" s="114">
        <v>-189262430.54000002</v>
      </c>
      <c r="Q122" s="114">
        <f>N122*-1</f>
        <v>0</v>
      </c>
      <c r="R122" s="114"/>
      <c r="S122" s="114">
        <f>+N122</f>
        <v>0</v>
      </c>
      <c r="T122" s="145"/>
      <c r="U122" s="145"/>
      <c r="V122" s="145"/>
    </row>
    <row r="123" spans="1:22" hidden="1" x14ac:dyDescent="0.25">
      <c r="A123" s="111"/>
      <c r="B123" s="273">
        <v>4069999000</v>
      </c>
      <c r="C123" s="110" t="s">
        <v>212</v>
      </c>
      <c r="D123" s="110"/>
      <c r="E123" s="110"/>
      <c r="F123" s="275">
        <f>IFERROR(VLOOKUP(B123,'WORKING PAPER FC1'!$I$11:$J$12,2,FALSE),0)</f>
        <v>0</v>
      </c>
      <c r="G123" s="129"/>
      <c r="H123" s="110"/>
      <c r="I123" s="114"/>
      <c r="J123" s="114"/>
      <c r="K123" s="196"/>
      <c r="L123" s="222">
        <v>1010202016</v>
      </c>
      <c r="M123" s="125" t="s">
        <v>173</v>
      </c>
      <c r="N123" s="114"/>
      <c r="O123" s="114">
        <f>G123*-1</f>
        <v>0</v>
      </c>
      <c r="P123" s="114">
        <f>-O123</f>
        <v>0</v>
      </c>
      <c r="Q123" s="114"/>
      <c r="R123" s="114"/>
      <c r="S123" s="114"/>
      <c r="T123" s="145"/>
      <c r="U123" s="145"/>
      <c r="V123" s="145"/>
    </row>
    <row r="124" spans="1:22" ht="31.5" hidden="1" x14ac:dyDescent="0.25">
      <c r="A124" s="111"/>
      <c r="B124" s="273">
        <v>2020102001</v>
      </c>
      <c r="C124" s="110" t="s">
        <v>232</v>
      </c>
      <c r="D124" s="110"/>
      <c r="E124" s="110"/>
      <c r="F124" s="275">
        <f>IFERROR(VLOOKUP(B124,'WORKING PAPER FC1'!$I$11:$J$12,2,FALSE),0)</f>
        <v>0</v>
      </c>
      <c r="G124" s="129"/>
      <c r="H124" s="110" t="s">
        <v>230</v>
      </c>
      <c r="I124" s="114">
        <f>G124</f>
        <v>0</v>
      </c>
      <c r="J124" s="114"/>
      <c r="K124" s="196">
        <f>-I124</f>
        <v>0</v>
      </c>
      <c r="L124" s="222">
        <v>5010102000</v>
      </c>
      <c r="M124" s="125" t="s">
        <v>231</v>
      </c>
      <c r="N124" s="114"/>
      <c r="O124" s="114">
        <f>G124</f>
        <v>0</v>
      </c>
      <c r="P124" s="114"/>
      <c r="Q124" s="114">
        <f>-O124</f>
        <v>0</v>
      </c>
      <c r="R124" s="114"/>
      <c r="S124" s="114"/>
      <c r="T124" s="145"/>
      <c r="U124" s="145"/>
      <c r="V124" s="145"/>
    </row>
    <row r="125" spans="1:22" ht="31.5" hidden="1" x14ac:dyDescent="0.25">
      <c r="A125" s="111"/>
      <c r="B125" s="273">
        <v>2020103002</v>
      </c>
      <c r="C125" s="110" t="s">
        <v>279</v>
      </c>
      <c r="D125" s="110"/>
      <c r="E125" s="110"/>
      <c r="F125" s="275"/>
      <c r="G125" s="129"/>
      <c r="H125" s="110"/>
      <c r="I125" s="114"/>
      <c r="J125" s="114"/>
      <c r="K125" s="196"/>
      <c r="L125" s="222">
        <v>2020103002</v>
      </c>
      <c r="M125" s="110" t="s">
        <v>234</v>
      </c>
      <c r="N125" s="114">
        <f>G125</f>
        <v>0</v>
      </c>
      <c r="O125" s="114"/>
      <c r="P125" s="114"/>
      <c r="Q125" s="114">
        <f>-N125</f>
        <v>0</v>
      </c>
      <c r="R125" s="114"/>
      <c r="S125" s="114"/>
      <c r="T125" s="145"/>
      <c r="U125" s="145"/>
      <c r="V125" s="145"/>
    </row>
    <row r="126" spans="1:22" ht="31.5" hidden="1" x14ac:dyDescent="0.25">
      <c r="A126" s="111"/>
      <c r="B126" s="273">
        <v>2020103002</v>
      </c>
      <c r="C126" s="110" t="s">
        <v>233</v>
      </c>
      <c r="D126" s="110"/>
      <c r="E126" s="110"/>
      <c r="F126" s="275">
        <f>IFERROR(VLOOKUP(B126,'WORKING PAPER FC1'!$I$11:$J$12,2,FALSE),0)</f>
        <v>0</v>
      </c>
      <c r="G126" s="129"/>
      <c r="H126" s="110" t="s">
        <v>234</v>
      </c>
      <c r="I126" s="114"/>
      <c r="J126" s="114"/>
      <c r="K126" s="196">
        <f>-G126</f>
        <v>0</v>
      </c>
      <c r="L126" s="222">
        <v>5010102000</v>
      </c>
      <c r="M126" s="125" t="s">
        <v>231</v>
      </c>
      <c r="N126" s="114"/>
      <c r="O126" s="114">
        <f>G126</f>
        <v>0</v>
      </c>
      <c r="P126" s="114"/>
      <c r="Q126" s="114">
        <f>-O126</f>
        <v>0</v>
      </c>
      <c r="R126" s="114"/>
      <c r="S126" s="114"/>
      <c r="T126" s="145"/>
      <c r="U126" s="145"/>
      <c r="V126" s="145"/>
    </row>
    <row r="127" spans="1:22" hidden="1" x14ac:dyDescent="0.25">
      <c r="A127" s="111"/>
      <c r="B127" s="273">
        <v>2020103001</v>
      </c>
      <c r="C127" s="110" t="s">
        <v>235</v>
      </c>
      <c r="D127" s="110"/>
      <c r="E127" s="110"/>
      <c r="F127" s="275">
        <f>IFERROR(VLOOKUP(B127,'WORKING PAPER FC1'!$I$11:$J$12,2,FALSE),0)</f>
        <v>0</v>
      </c>
      <c r="G127" s="129"/>
      <c r="H127" s="110" t="s">
        <v>236</v>
      </c>
      <c r="I127" s="114"/>
      <c r="J127" s="114"/>
      <c r="K127" s="196">
        <f>-G127</f>
        <v>0</v>
      </c>
      <c r="L127" s="222">
        <v>5010102000</v>
      </c>
      <c r="M127" s="125" t="s">
        <v>231</v>
      </c>
      <c r="N127" s="114"/>
      <c r="O127" s="114">
        <f>G127</f>
        <v>0</v>
      </c>
      <c r="P127" s="114"/>
      <c r="Q127" s="114">
        <f>-O127</f>
        <v>0</v>
      </c>
      <c r="R127" s="114"/>
      <c r="S127" s="114"/>
      <c r="T127" s="145"/>
      <c r="U127" s="145"/>
      <c r="V127" s="145"/>
    </row>
    <row r="128" spans="1:22" hidden="1" x14ac:dyDescent="0.25">
      <c r="A128" s="111"/>
      <c r="B128" s="273">
        <v>2020103001</v>
      </c>
      <c r="C128" s="110" t="s">
        <v>237</v>
      </c>
      <c r="D128" s="110"/>
      <c r="E128" s="110"/>
      <c r="F128" s="275">
        <f>IFERROR(VLOOKUP(B128,'WORKING PAPER FC1'!$I$11:$J$12,2,FALSE),0)</f>
        <v>0</v>
      </c>
      <c r="G128" s="129"/>
      <c r="H128" s="110" t="s">
        <v>236</v>
      </c>
      <c r="I128" s="114"/>
      <c r="J128" s="114"/>
      <c r="K128" s="196">
        <f>-G128</f>
        <v>0</v>
      </c>
      <c r="L128" s="222">
        <v>5010302001</v>
      </c>
      <c r="M128" s="125" t="s">
        <v>238</v>
      </c>
      <c r="N128" s="114"/>
      <c r="O128" s="114">
        <f>G128</f>
        <v>0</v>
      </c>
      <c r="P128" s="114"/>
      <c r="Q128" s="114">
        <f>-O128</f>
        <v>0</v>
      </c>
      <c r="R128" s="114"/>
      <c r="S128" s="114"/>
      <c r="T128" s="145"/>
      <c r="U128" s="145"/>
      <c r="V128" s="145"/>
    </row>
    <row r="129" spans="1:24" ht="31.5" hidden="1" x14ac:dyDescent="0.25">
      <c r="A129" s="111"/>
      <c r="B129" s="273">
        <v>2020104000</v>
      </c>
      <c r="C129" s="110" t="s">
        <v>239</v>
      </c>
      <c r="D129" s="110"/>
      <c r="E129" s="110"/>
      <c r="F129" s="275">
        <f>IFERROR(VLOOKUP(B129,'WORKING PAPER FC1'!$I$11:$J$12,2,FALSE),0)</f>
        <v>0</v>
      </c>
      <c r="G129" s="129"/>
      <c r="H129" s="110" t="s">
        <v>240</v>
      </c>
      <c r="I129" s="114"/>
      <c r="J129" s="114"/>
      <c r="K129" s="196">
        <f>-G129</f>
        <v>0</v>
      </c>
      <c r="L129" s="222">
        <v>5010102000</v>
      </c>
      <c r="M129" s="125" t="s">
        <v>231</v>
      </c>
      <c r="N129" s="114"/>
      <c r="O129" s="114">
        <f>G129</f>
        <v>0</v>
      </c>
      <c r="P129" s="114"/>
      <c r="Q129" s="114">
        <f>-O129</f>
        <v>0</v>
      </c>
      <c r="R129" s="114"/>
      <c r="S129" s="114"/>
      <c r="T129" s="145"/>
      <c r="U129" s="145"/>
      <c r="V129" s="145"/>
    </row>
    <row r="130" spans="1:24" hidden="1" x14ac:dyDescent="0.25">
      <c r="A130" s="111"/>
      <c r="B130" s="273">
        <v>5030104000</v>
      </c>
      <c r="C130" s="110" t="s">
        <v>264</v>
      </c>
      <c r="D130" s="110"/>
      <c r="E130" s="110"/>
      <c r="F130" s="275"/>
      <c r="G130" s="129"/>
      <c r="H130" s="110"/>
      <c r="I130" s="114"/>
      <c r="J130" s="114"/>
      <c r="K130" s="196"/>
      <c r="L130" s="222">
        <v>1010202024</v>
      </c>
      <c r="M130" s="125" t="s">
        <v>265</v>
      </c>
      <c r="N130" s="114"/>
      <c r="O130" s="114"/>
      <c r="P130" s="114"/>
      <c r="Q130" s="114">
        <f>-O130</f>
        <v>0</v>
      </c>
      <c r="R130" s="114"/>
      <c r="S130" s="114"/>
      <c r="T130" s="145"/>
      <c r="U130" s="145"/>
      <c r="V130" s="145"/>
    </row>
    <row r="131" spans="1:24" ht="31.5" hidden="1" x14ac:dyDescent="0.25">
      <c r="A131" s="111"/>
      <c r="B131" s="273">
        <v>1039903000</v>
      </c>
      <c r="C131" s="110" t="s">
        <v>273</v>
      </c>
      <c r="D131" s="110"/>
      <c r="E131" s="110"/>
      <c r="F131" s="275"/>
      <c r="G131" s="129"/>
      <c r="H131" s="110" t="s">
        <v>34</v>
      </c>
      <c r="I131" s="114"/>
      <c r="J131" s="114"/>
      <c r="K131" s="196">
        <f>G131</f>
        <v>0</v>
      </c>
      <c r="L131" s="273">
        <v>1039903000</v>
      </c>
      <c r="M131" s="125" t="s">
        <v>276</v>
      </c>
      <c r="N131" s="114">
        <f>G131</f>
        <v>0</v>
      </c>
      <c r="O131" s="114"/>
      <c r="P131" s="114">
        <f>N131</f>
        <v>0</v>
      </c>
      <c r="Q131" s="114"/>
      <c r="R131" s="114"/>
      <c r="S131" s="114"/>
      <c r="T131" s="145"/>
      <c r="U131" s="145"/>
      <c r="V131" s="145"/>
    </row>
    <row r="132" spans="1:24" ht="31.5" hidden="1" x14ac:dyDescent="0.25">
      <c r="A132" s="330"/>
      <c r="B132" s="331">
        <v>1990202000</v>
      </c>
      <c r="C132" s="332" t="s">
        <v>274</v>
      </c>
      <c r="D132" s="332"/>
      <c r="E132" s="332"/>
      <c r="F132" s="332"/>
      <c r="G132" s="333"/>
      <c r="H132" s="332" t="s">
        <v>221</v>
      </c>
      <c r="I132" s="334"/>
      <c r="J132" s="334"/>
      <c r="K132" s="196">
        <f>G132</f>
        <v>0</v>
      </c>
      <c r="L132" s="331">
        <v>1990202000</v>
      </c>
      <c r="M132" s="335" t="s">
        <v>275</v>
      </c>
      <c r="N132" s="334">
        <f>G132</f>
        <v>0</v>
      </c>
      <c r="O132" s="334"/>
      <c r="P132" s="334">
        <f>N132</f>
        <v>0</v>
      </c>
      <c r="Q132" s="334"/>
      <c r="R132" s="114"/>
      <c r="S132" s="114"/>
      <c r="T132" s="145"/>
      <c r="U132" s="145"/>
      <c r="V132" s="145"/>
    </row>
    <row r="133" spans="1:24" ht="47.25" hidden="1" x14ac:dyDescent="0.25">
      <c r="A133" s="111"/>
      <c r="B133" s="273">
        <v>2040104000</v>
      </c>
      <c r="C133" s="110" t="s">
        <v>290</v>
      </c>
      <c r="D133" s="110"/>
      <c r="E133" s="110"/>
      <c r="F133" s="110"/>
      <c r="G133" s="129"/>
      <c r="H133" s="110" t="s">
        <v>291</v>
      </c>
      <c r="I133" s="114"/>
      <c r="J133" s="114"/>
      <c r="K133" s="196">
        <v>-8699.83</v>
      </c>
      <c r="L133" s="273">
        <v>2040104000</v>
      </c>
      <c r="M133" s="125" t="s">
        <v>292</v>
      </c>
      <c r="N133" s="114"/>
      <c r="O133" s="114"/>
      <c r="P133" s="114"/>
      <c r="Q133" s="114">
        <f>O133</f>
        <v>0</v>
      </c>
      <c r="R133" s="114"/>
      <c r="S133" s="114"/>
      <c r="T133" s="145"/>
      <c r="U133" s="145"/>
      <c r="V133" s="145"/>
    </row>
    <row r="134" spans="1:24" s="289" customFormat="1" x14ac:dyDescent="0.25">
      <c r="A134" s="277" t="str">
        <f>'FC 3 2024'!A35:B35</f>
        <v>Balance as of December 31, 2024</v>
      </c>
      <c r="B134" s="449"/>
      <c r="C134" s="116"/>
      <c r="D134" s="116"/>
      <c r="E134" s="116"/>
      <c r="F134" s="116"/>
      <c r="G134" s="109">
        <f>G15+G11+G9</f>
        <v>121311895.65683341</v>
      </c>
      <c r="H134" s="117">
        <v>0</v>
      </c>
      <c r="I134" s="109"/>
      <c r="J134" s="109"/>
      <c r="K134" s="197">
        <f>K15+K11</f>
        <v>-1419712848.6191666</v>
      </c>
      <c r="L134" s="223"/>
      <c r="M134" s="109">
        <v>0</v>
      </c>
      <c r="N134" s="109"/>
      <c r="O134" s="109"/>
      <c r="P134" s="109">
        <f>P15+P11</f>
        <v>-1331276942.0031664</v>
      </c>
      <c r="Q134" s="109">
        <f>Q15+Q11</f>
        <v>87902833.719999999</v>
      </c>
      <c r="R134" s="109"/>
      <c r="S134" s="109">
        <f>SUBTOTAL(9,S18:S132)</f>
        <v>3157515.0259999987</v>
      </c>
      <c r="T134" s="282"/>
      <c r="U134" s="282"/>
      <c r="V134" s="282"/>
    </row>
    <row r="135" spans="1:24" x14ac:dyDescent="0.25">
      <c r="A135" s="279"/>
      <c r="C135" s="281"/>
      <c r="D135" s="281"/>
      <c r="E135" s="281"/>
      <c r="F135" s="281"/>
      <c r="G135" s="441">
        <f>G134-[29]FC1SGE!$J$17</f>
        <v>-3.1669139862060547E-3</v>
      </c>
      <c r="H135" s="283"/>
      <c r="M135" s="145"/>
      <c r="N135" s="145"/>
      <c r="O135" s="145"/>
      <c r="P135" s="145"/>
      <c r="Q135" s="145"/>
      <c r="R135" s="145"/>
      <c r="S135" s="145"/>
      <c r="T135" s="145"/>
      <c r="U135" s="145"/>
      <c r="V135" s="145"/>
    </row>
    <row r="136" spans="1:24" ht="31.5" x14ac:dyDescent="0.25">
      <c r="A136" s="279"/>
      <c r="C136" s="287" t="s">
        <v>74</v>
      </c>
      <c r="D136" s="287"/>
      <c r="E136" s="287"/>
      <c r="F136" s="287"/>
      <c r="G136" s="454"/>
      <c r="H136" s="287" t="s">
        <v>383</v>
      </c>
      <c r="I136" s="288"/>
      <c r="J136" s="288"/>
      <c r="M136" s="289" t="s">
        <v>384</v>
      </c>
      <c r="N136" s="145"/>
      <c r="O136" s="145"/>
      <c r="P136" s="145"/>
      <c r="Q136" s="290"/>
      <c r="R136" s="289" t="s">
        <v>77</v>
      </c>
      <c r="S136" s="145"/>
      <c r="T136" s="145"/>
      <c r="U136" s="145"/>
      <c r="V136" s="145"/>
    </row>
    <row r="137" spans="1:24" x14ac:dyDescent="0.25">
      <c r="C137" s="291" t="s">
        <v>78</v>
      </c>
      <c r="D137" s="291"/>
      <c r="E137" s="291"/>
      <c r="F137" s="291"/>
      <c r="G137" s="145">
        <f>G134</f>
        <v>121311895.65683341</v>
      </c>
      <c r="H137" s="283"/>
      <c r="J137" s="288"/>
      <c r="M137" s="145"/>
      <c r="N137" s="292" t="s">
        <v>79</v>
      </c>
      <c r="O137" s="293"/>
      <c r="P137" s="145">
        <f>P134</f>
        <v>-1331276942.0031664</v>
      </c>
      <c r="Q137" s="145"/>
      <c r="R137" s="145"/>
      <c r="S137" s="145"/>
      <c r="T137" s="145"/>
      <c r="U137" s="145"/>
      <c r="V137" s="145"/>
    </row>
    <row r="138" spans="1:24" x14ac:dyDescent="0.25">
      <c r="C138" s="291" t="s">
        <v>80</v>
      </c>
      <c r="D138" s="291"/>
      <c r="E138" s="291"/>
      <c r="F138" s="291"/>
      <c r="G138" s="145">
        <f>G9</f>
        <v>1540491671.3800001</v>
      </c>
      <c r="M138" s="145"/>
      <c r="N138" s="292" t="s">
        <v>81</v>
      </c>
      <c r="O138" s="293"/>
      <c r="P138" s="145">
        <f>Q134</f>
        <v>87902833.719999999</v>
      </c>
      <c r="Q138" s="145"/>
      <c r="R138" s="145"/>
      <c r="S138" s="145"/>
      <c r="T138" s="145"/>
      <c r="U138" s="145"/>
      <c r="V138" s="145"/>
    </row>
    <row r="139" spans="1:24" x14ac:dyDescent="0.25">
      <c r="C139" s="295" t="s">
        <v>82</v>
      </c>
      <c r="D139" s="295"/>
      <c r="E139" s="295"/>
      <c r="F139" s="295"/>
      <c r="G139" s="282">
        <f>G137-G138</f>
        <v>-1419179775.7231667</v>
      </c>
      <c r="H139" s="295" t="s">
        <v>83</v>
      </c>
      <c r="K139" s="296"/>
      <c r="L139" s="297"/>
      <c r="M139" s="145"/>
      <c r="N139" s="292" t="s">
        <v>84</v>
      </c>
      <c r="O139" s="298"/>
      <c r="P139" s="145"/>
      <c r="Q139" s="145"/>
      <c r="R139" s="282" t="s">
        <v>84</v>
      </c>
      <c r="S139" s="282">
        <f>S134</f>
        <v>3157515.0259999987</v>
      </c>
      <c r="T139" s="145"/>
      <c r="U139" s="145"/>
      <c r="V139" s="145"/>
    </row>
    <row r="140" spans="1:24" x14ac:dyDescent="0.25">
      <c r="G140" s="383" t="s">
        <v>357</v>
      </c>
      <c r="H140" s="299"/>
      <c r="M140" s="145"/>
      <c r="N140" s="300" t="s">
        <v>85</v>
      </c>
      <c r="O140" s="282"/>
      <c r="P140" s="282"/>
      <c r="Q140" s="282">
        <f>P137-P138+P139</f>
        <v>-1419179775.7231665</v>
      </c>
      <c r="R140" s="145"/>
      <c r="S140" s="145">
        <f>S139-[29]FC1SGE!$M$12</f>
        <v>-4.0000011213123798E-3</v>
      </c>
      <c r="T140" s="145"/>
      <c r="U140" s="450"/>
      <c r="V140" s="450"/>
      <c r="W140" s="280"/>
    </row>
    <row r="141" spans="1:24" s="289" customFormat="1" ht="16.5" x14ac:dyDescent="0.3">
      <c r="B141" s="301"/>
      <c r="C141" s="287"/>
      <c r="D141" s="287"/>
      <c r="E141" s="287"/>
      <c r="F141" s="287"/>
      <c r="G141" s="455" t="s">
        <v>357</v>
      </c>
      <c r="H141" s="302"/>
      <c r="I141" s="302"/>
      <c r="J141" s="302"/>
      <c r="K141" s="296"/>
      <c r="L141" s="297"/>
      <c r="M141" s="282"/>
      <c r="N141" s="282"/>
      <c r="O141" s="282"/>
      <c r="P141" s="282"/>
      <c r="Q141" s="303">
        <f>G139-Q140</f>
        <v>0</v>
      </c>
      <c r="R141" s="282"/>
      <c r="S141" s="282"/>
      <c r="T141" s="282"/>
      <c r="U141" s="453"/>
      <c r="V141" s="453"/>
      <c r="W141" s="301"/>
    </row>
    <row r="142" spans="1:24" ht="16.5" x14ac:dyDescent="0.3">
      <c r="G142" s="383" t="s">
        <v>357</v>
      </c>
      <c r="H142" s="302"/>
      <c r="I142" s="302"/>
      <c r="J142" s="302"/>
      <c r="M142" s="145"/>
      <c r="N142" s="145"/>
      <c r="O142" s="145"/>
      <c r="P142" s="145"/>
      <c r="Q142" s="145"/>
      <c r="R142" s="320"/>
      <c r="S142" s="320"/>
      <c r="T142" s="145"/>
      <c r="U142" s="145"/>
      <c r="V142" s="145"/>
      <c r="W142" s="304"/>
      <c r="X142" s="304"/>
    </row>
    <row r="143" spans="1:24" ht="16.5" x14ac:dyDescent="0.3">
      <c r="C143" s="287" t="s">
        <v>88</v>
      </c>
      <c r="D143" s="287"/>
      <c r="E143" s="287"/>
      <c r="F143" s="287"/>
      <c r="G143" s="383" t="s">
        <v>357</v>
      </c>
      <c r="H143" s="305"/>
      <c r="I143" s="305"/>
      <c r="J143" s="305"/>
      <c r="M143" s="145"/>
      <c r="N143" s="145" t="s">
        <v>89</v>
      </c>
      <c r="O143" s="145"/>
      <c r="P143" s="145"/>
      <c r="Q143" s="145"/>
      <c r="R143" s="282"/>
      <c r="S143" s="145"/>
      <c r="T143" s="145"/>
      <c r="U143" s="282"/>
      <c r="V143" s="282"/>
      <c r="W143" s="290"/>
    </row>
    <row r="144" spans="1:24" x14ac:dyDescent="0.25">
      <c r="G144" s="383" t="s">
        <v>357</v>
      </c>
      <c r="H144" s="283"/>
      <c r="M144" s="145"/>
      <c r="N144" s="145"/>
      <c r="O144" s="145"/>
      <c r="P144" s="145"/>
      <c r="Q144" s="145"/>
      <c r="R144" s="145"/>
      <c r="S144" s="145"/>
      <c r="T144" s="145"/>
      <c r="U144" s="145"/>
      <c r="V144" s="145"/>
      <c r="W144" s="304"/>
    </row>
    <row r="145" spans="2:22" x14ac:dyDescent="0.25">
      <c r="G145" s="383" t="s">
        <v>357</v>
      </c>
      <c r="H145" s="299"/>
      <c r="I145" s="289"/>
      <c r="M145" s="145"/>
      <c r="N145" s="145"/>
      <c r="O145" s="145"/>
      <c r="P145" s="145"/>
      <c r="Q145" s="145"/>
      <c r="R145" s="145"/>
      <c r="S145" s="145"/>
      <c r="T145" s="145"/>
      <c r="U145" s="145"/>
      <c r="V145" s="145"/>
    </row>
    <row r="146" spans="2:22" x14ac:dyDescent="0.25">
      <c r="C146" s="238" t="s">
        <v>208</v>
      </c>
      <c r="D146" s="238"/>
      <c r="E146" s="238"/>
      <c r="F146" s="238"/>
      <c r="G146" s="383" t="s">
        <v>357</v>
      </c>
      <c r="H146" s="283"/>
      <c r="M146" s="145"/>
      <c r="N146" s="492" t="s">
        <v>90</v>
      </c>
      <c r="O146" s="492"/>
      <c r="P146" s="492"/>
      <c r="Q146" s="145"/>
      <c r="R146" s="145"/>
      <c r="S146" s="145"/>
      <c r="T146" s="145"/>
      <c r="U146" s="145"/>
      <c r="V146" s="145"/>
    </row>
    <row r="147" spans="2:22" x14ac:dyDescent="0.25">
      <c r="C147" s="306" t="s">
        <v>91</v>
      </c>
      <c r="D147" s="306"/>
      <c r="E147" s="306"/>
      <c r="F147" s="306"/>
      <c r="G147" s="383" t="s">
        <v>357</v>
      </c>
      <c r="H147" s="307"/>
      <c r="I147" s="289"/>
      <c r="M147" s="308"/>
      <c r="N147" s="489" t="s">
        <v>92</v>
      </c>
      <c r="O147" s="489"/>
      <c r="P147" s="489"/>
      <c r="Q147" s="308"/>
      <c r="R147" s="308"/>
      <c r="S147" s="308"/>
      <c r="T147" s="145"/>
      <c r="U147" s="145"/>
      <c r="V147" s="145"/>
    </row>
    <row r="149" spans="2:22" x14ac:dyDescent="0.25">
      <c r="B149" s="301"/>
      <c r="C149" s="309"/>
      <c r="D149" s="309"/>
      <c r="E149" s="309"/>
      <c r="F149" s="309"/>
    </row>
    <row r="150" spans="2:22" x14ac:dyDescent="0.25">
      <c r="B150" s="301"/>
      <c r="C150" s="309"/>
      <c r="D150" s="309"/>
      <c r="E150" s="309"/>
      <c r="F150" s="309"/>
      <c r="N150" s="310"/>
      <c r="O150" s="311"/>
      <c r="P150" s="301"/>
      <c r="Q150" s="311"/>
    </row>
    <row r="151" spans="2:22" x14ac:dyDescent="0.25">
      <c r="B151" s="301"/>
      <c r="C151" s="309"/>
      <c r="D151" s="309"/>
      <c r="E151" s="309"/>
      <c r="F151" s="309"/>
      <c r="N151" s="310"/>
      <c r="O151" s="311"/>
      <c r="P151" s="301"/>
      <c r="Q151" s="311"/>
    </row>
    <row r="152" spans="2:22" x14ac:dyDescent="0.25">
      <c r="B152" s="301"/>
      <c r="C152" s="309"/>
      <c r="D152" s="309"/>
      <c r="E152" s="309"/>
      <c r="F152" s="309"/>
      <c r="N152" s="310"/>
      <c r="O152" s="311"/>
      <c r="P152" s="301"/>
      <c r="Q152" s="311"/>
    </row>
    <row r="153" spans="2:22" x14ac:dyDescent="0.25">
      <c r="B153" s="301"/>
      <c r="C153" s="309"/>
      <c r="D153" s="309"/>
      <c r="E153" s="309"/>
      <c r="F153" s="309"/>
      <c r="N153" s="310"/>
      <c r="O153" s="311"/>
      <c r="P153" s="301"/>
      <c r="Q153" s="311"/>
    </row>
    <row r="154" spans="2:22" x14ac:dyDescent="0.25">
      <c r="B154" s="301"/>
      <c r="C154" s="309"/>
      <c r="D154" s="309"/>
      <c r="E154" s="309"/>
      <c r="F154" s="309"/>
      <c r="G154" s="284"/>
      <c r="M154" s="145"/>
      <c r="N154" s="310"/>
      <c r="O154" s="311"/>
      <c r="P154" s="301"/>
      <c r="Q154" s="311"/>
    </row>
    <row r="155" spans="2:22" x14ac:dyDescent="0.25">
      <c r="B155" s="301"/>
      <c r="C155" s="309"/>
      <c r="D155" s="309"/>
      <c r="E155" s="309"/>
      <c r="F155" s="309"/>
      <c r="G155" s="284"/>
      <c r="M155" s="145"/>
      <c r="N155" s="310"/>
      <c r="O155" s="311"/>
      <c r="P155" s="301"/>
      <c r="Q155" s="311"/>
    </row>
    <row r="156" spans="2:22" x14ac:dyDescent="0.25">
      <c r="B156" s="301"/>
      <c r="C156" s="309"/>
      <c r="D156" s="309"/>
      <c r="E156" s="309"/>
      <c r="F156" s="309"/>
      <c r="G156" s="284"/>
      <c r="M156" s="145"/>
      <c r="N156" s="310"/>
      <c r="O156" s="311"/>
      <c r="P156" s="301"/>
      <c r="Q156" s="311"/>
    </row>
    <row r="157" spans="2:22" x14ac:dyDescent="0.25">
      <c r="B157" s="301"/>
      <c r="C157" s="309"/>
      <c r="D157" s="309"/>
      <c r="E157" s="309"/>
      <c r="F157" s="309"/>
      <c r="G157" s="284"/>
      <c r="K157" s="296"/>
      <c r="M157" s="145"/>
      <c r="N157" s="310"/>
      <c r="O157" s="311"/>
      <c r="P157" s="301"/>
      <c r="Q157" s="311"/>
    </row>
    <row r="158" spans="2:22" x14ac:dyDescent="0.25">
      <c r="B158" s="301"/>
      <c r="C158" s="309"/>
      <c r="D158" s="309"/>
      <c r="E158" s="309"/>
      <c r="F158" s="309"/>
      <c r="N158" s="310"/>
      <c r="O158" s="311"/>
      <c r="P158" s="301"/>
      <c r="Q158" s="311"/>
    </row>
    <row r="159" spans="2:22" x14ac:dyDescent="0.25">
      <c r="B159" s="301"/>
      <c r="C159" s="309"/>
      <c r="D159" s="309"/>
      <c r="E159" s="309"/>
      <c r="F159" s="309"/>
      <c r="N159" s="310"/>
      <c r="O159" s="311"/>
      <c r="P159" s="301"/>
      <c r="Q159" s="311"/>
    </row>
    <row r="160" spans="2:22" x14ac:dyDescent="0.25">
      <c r="B160" s="301"/>
      <c r="C160" s="309"/>
      <c r="D160" s="309"/>
      <c r="E160" s="309"/>
      <c r="F160" s="309"/>
      <c r="N160" s="310"/>
      <c r="O160" s="311"/>
      <c r="P160" s="301"/>
      <c r="Q160" s="311"/>
    </row>
    <row r="161" spans="2:17" x14ac:dyDescent="0.25">
      <c r="B161" s="301"/>
      <c r="C161" s="309"/>
      <c r="D161" s="309"/>
      <c r="E161" s="309"/>
      <c r="F161" s="309"/>
      <c r="N161" s="310"/>
      <c r="O161" s="311"/>
      <c r="P161" s="301"/>
      <c r="Q161" s="311"/>
    </row>
    <row r="162" spans="2:17" x14ac:dyDescent="0.25">
      <c r="B162" s="301"/>
      <c r="C162" s="309"/>
      <c r="D162" s="309"/>
      <c r="E162" s="309"/>
      <c r="F162" s="309"/>
      <c r="N162" s="310"/>
      <c r="O162" s="311"/>
      <c r="P162" s="301"/>
      <c r="Q162" s="311"/>
    </row>
    <row r="163" spans="2:17" x14ac:dyDescent="0.25">
      <c r="B163" s="301"/>
      <c r="C163" s="309"/>
      <c r="D163" s="309"/>
      <c r="E163" s="309"/>
      <c r="F163" s="309"/>
      <c r="N163" s="310"/>
      <c r="O163" s="311"/>
      <c r="P163" s="301"/>
      <c r="Q163" s="311"/>
    </row>
    <row r="164" spans="2:17" x14ac:dyDescent="0.25">
      <c r="B164" s="312"/>
      <c r="C164" s="309"/>
      <c r="D164" s="309"/>
      <c r="E164" s="309"/>
      <c r="F164" s="309"/>
      <c r="N164" s="310"/>
      <c r="O164" s="311"/>
      <c r="P164" s="301"/>
      <c r="Q164" s="311"/>
    </row>
    <row r="165" spans="2:17" x14ac:dyDescent="0.25">
      <c r="B165" s="313"/>
      <c r="C165" s="309"/>
      <c r="D165" s="309"/>
      <c r="E165" s="309"/>
      <c r="F165" s="309"/>
      <c r="K165" s="296"/>
      <c r="N165" s="310"/>
      <c r="O165" s="311"/>
      <c r="P165" s="301"/>
      <c r="Q165" s="311"/>
    </row>
    <row r="166" spans="2:17" x14ac:dyDescent="0.25">
      <c r="B166" s="301"/>
      <c r="C166" s="309"/>
      <c r="D166" s="309"/>
      <c r="E166" s="309"/>
      <c r="F166" s="309"/>
      <c r="N166" s="310"/>
      <c r="O166" s="311"/>
      <c r="P166" s="301"/>
      <c r="Q166" s="311"/>
    </row>
    <row r="167" spans="2:17" x14ac:dyDescent="0.25">
      <c r="B167" s="301"/>
      <c r="C167" s="309"/>
      <c r="D167" s="309"/>
      <c r="E167" s="309"/>
      <c r="F167" s="309"/>
      <c r="K167" s="296"/>
      <c r="L167" s="314"/>
      <c r="M167" s="311"/>
      <c r="N167" s="310"/>
      <c r="O167" s="311"/>
      <c r="P167" s="301"/>
      <c r="Q167" s="311"/>
    </row>
    <row r="168" spans="2:17" x14ac:dyDescent="0.25">
      <c r="B168" s="301"/>
      <c r="C168" s="309"/>
      <c r="D168" s="309"/>
      <c r="E168" s="309"/>
      <c r="F168" s="309"/>
      <c r="J168" s="289"/>
      <c r="K168" s="296"/>
      <c r="L168" s="314"/>
      <c r="M168" s="311"/>
      <c r="N168" s="310"/>
      <c r="O168" s="311"/>
      <c r="P168" s="301"/>
      <c r="Q168" s="311"/>
    </row>
    <row r="169" spans="2:17" x14ac:dyDescent="0.25">
      <c r="B169" s="301"/>
      <c r="C169" s="309"/>
      <c r="D169" s="309"/>
      <c r="E169" s="309"/>
      <c r="F169" s="309"/>
      <c r="J169" s="289"/>
      <c r="K169" s="296"/>
      <c r="L169" s="314"/>
      <c r="M169" s="311"/>
      <c r="N169" s="310"/>
      <c r="O169" s="311"/>
      <c r="P169" s="301"/>
      <c r="Q169" s="311"/>
    </row>
    <row r="170" spans="2:17" x14ac:dyDescent="0.25">
      <c r="B170" s="301"/>
      <c r="C170" s="309"/>
      <c r="D170" s="309"/>
      <c r="E170" s="309"/>
      <c r="F170" s="309"/>
      <c r="J170" s="289"/>
      <c r="K170" s="311"/>
      <c r="L170" s="314"/>
      <c r="M170" s="311"/>
      <c r="N170" s="310"/>
      <c r="O170" s="311"/>
      <c r="P170" s="301"/>
      <c r="Q170" s="311"/>
    </row>
    <row r="171" spans="2:17" x14ac:dyDescent="0.25">
      <c r="B171" s="301"/>
      <c r="C171" s="309"/>
      <c r="D171" s="309"/>
      <c r="E171" s="309"/>
      <c r="F171" s="309"/>
      <c r="J171" s="289"/>
      <c r="K171" s="311"/>
      <c r="L171" s="314"/>
      <c r="M171" s="311"/>
      <c r="N171" s="310"/>
      <c r="O171" s="311"/>
      <c r="P171" s="301"/>
      <c r="Q171" s="311"/>
    </row>
    <row r="172" spans="2:17" x14ac:dyDescent="0.25">
      <c r="B172" s="301"/>
      <c r="C172" s="309"/>
      <c r="D172" s="309"/>
      <c r="E172" s="309"/>
      <c r="F172" s="309"/>
      <c r="J172" s="289"/>
      <c r="K172" s="296"/>
      <c r="L172" s="314"/>
      <c r="M172" s="311"/>
      <c r="N172" s="310"/>
      <c r="O172" s="311"/>
      <c r="P172" s="301"/>
      <c r="Q172" s="311"/>
    </row>
    <row r="173" spans="2:17" x14ac:dyDescent="0.25">
      <c r="B173" s="301"/>
      <c r="C173" s="309"/>
      <c r="D173" s="309"/>
      <c r="E173" s="309"/>
      <c r="F173" s="309"/>
      <c r="J173" s="289"/>
      <c r="K173" s="296"/>
      <c r="L173" s="314"/>
      <c r="M173" s="311"/>
      <c r="N173" s="301"/>
      <c r="O173" s="315"/>
      <c r="P173" s="301"/>
      <c r="Q173" s="311"/>
    </row>
    <row r="174" spans="2:17" x14ac:dyDescent="0.25">
      <c r="B174" s="301"/>
      <c r="C174" s="309"/>
      <c r="D174" s="309"/>
      <c r="E174" s="309"/>
      <c r="F174" s="309"/>
      <c r="J174" s="289"/>
      <c r="K174" s="296"/>
      <c r="L174" s="314"/>
      <c r="M174" s="311"/>
      <c r="N174" s="301"/>
      <c r="O174" s="315"/>
      <c r="P174" s="301"/>
      <c r="Q174" s="311"/>
    </row>
    <row r="175" spans="2:17" x14ac:dyDescent="0.25">
      <c r="B175" s="301"/>
      <c r="C175" s="309"/>
      <c r="D175" s="309"/>
      <c r="E175" s="309"/>
      <c r="F175" s="309"/>
      <c r="K175" s="296"/>
      <c r="L175" s="314"/>
      <c r="M175" s="311"/>
      <c r="O175" s="288"/>
      <c r="P175" s="301"/>
      <c r="Q175" s="311"/>
    </row>
    <row r="176" spans="2:17" x14ac:dyDescent="0.25">
      <c r="B176" s="301"/>
      <c r="C176" s="309"/>
      <c r="D176" s="309"/>
      <c r="E176" s="309"/>
      <c r="F176" s="309"/>
      <c r="K176" s="296"/>
      <c r="L176" s="314"/>
      <c r="M176" s="311"/>
      <c r="P176" s="301"/>
      <c r="Q176" s="311"/>
    </row>
    <row r="177" spans="2:17" x14ac:dyDescent="0.25">
      <c r="B177" s="301"/>
      <c r="C177" s="309"/>
      <c r="D177" s="309"/>
      <c r="E177" s="309"/>
      <c r="F177" s="309"/>
      <c r="K177" s="296"/>
      <c r="L177" s="314"/>
      <c r="M177" s="311"/>
      <c r="P177" s="301"/>
      <c r="Q177" s="311"/>
    </row>
    <row r="178" spans="2:17" x14ac:dyDescent="0.25">
      <c r="B178" s="301"/>
      <c r="C178" s="309"/>
      <c r="D178" s="309"/>
      <c r="E178" s="309"/>
      <c r="F178" s="309"/>
      <c r="J178" s="289"/>
      <c r="K178" s="296"/>
      <c r="L178" s="314"/>
      <c r="M178" s="311"/>
      <c r="P178" s="301"/>
      <c r="Q178" s="311"/>
    </row>
    <row r="179" spans="2:17" x14ac:dyDescent="0.25">
      <c r="B179" s="301"/>
      <c r="C179" s="309"/>
      <c r="D179" s="309"/>
      <c r="E179" s="309"/>
      <c r="F179" s="309"/>
      <c r="K179" s="296"/>
      <c r="L179" s="314"/>
      <c r="M179" s="311"/>
      <c r="P179" s="301"/>
      <c r="Q179" s="311"/>
    </row>
    <row r="180" spans="2:17" x14ac:dyDescent="0.25">
      <c r="B180" s="301"/>
      <c r="C180" s="309"/>
      <c r="D180" s="309"/>
      <c r="E180" s="309"/>
      <c r="F180" s="309"/>
      <c r="J180" s="289"/>
      <c r="K180" s="296"/>
      <c r="L180" s="314"/>
      <c r="M180" s="311"/>
      <c r="P180" s="301"/>
      <c r="Q180" s="311"/>
    </row>
    <row r="181" spans="2:17" x14ac:dyDescent="0.25">
      <c r="B181" s="301"/>
      <c r="C181" s="309"/>
      <c r="D181" s="309"/>
      <c r="E181" s="309"/>
      <c r="F181" s="309"/>
      <c r="K181" s="296"/>
      <c r="L181" s="314"/>
      <c r="M181" s="311"/>
      <c r="P181" s="301"/>
      <c r="Q181" s="311"/>
    </row>
    <row r="182" spans="2:17" x14ac:dyDescent="0.25">
      <c r="B182" s="301"/>
      <c r="C182" s="309"/>
      <c r="D182" s="309"/>
      <c r="E182" s="309"/>
      <c r="F182" s="309"/>
      <c r="L182" s="314"/>
      <c r="M182" s="311"/>
      <c r="P182" s="301"/>
      <c r="Q182" s="311"/>
    </row>
    <row r="183" spans="2:17" x14ac:dyDescent="0.25">
      <c r="B183" s="301"/>
      <c r="C183" s="309"/>
      <c r="D183" s="309"/>
      <c r="E183" s="309"/>
      <c r="F183" s="309"/>
      <c r="L183" s="314"/>
      <c r="M183" s="311"/>
      <c r="P183" s="301"/>
      <c r="Q183" s="311"/>
    </row>
    <row r="184" spans="2:17" x14ac:dyDescent="0.25">
      <c r="B184" s="301"/>
      <c r="C184" s="309"/>
      <c r="D184" s="309"/>
      <c r="E184" s="309"/>
      <c r="F184" s="309"/>
      <c r="L184" s="314"/>
      <c r="M184" s="311"/>
      <c r="P184" s="301"/>
      <c r="Q184" s="311"/>
    </row>
    <row r="185" spans="2:17" x14ac:dyDescent="0.25">
      <c r="B185" s="301"/>
      <c r="C185" s="309"/>
      <c r="D185" s="309"/>
      <c r="E185" s="309"/>
      <c r="F185" s="309"/>
      <c r="L185" s="314"/>
      <c r="M185" s="311"/>
    </row>
    <row r="186" spans="2:17" x14ac:dyDescent="0.25">
      <c r="B186" s="301"/>
      <c r="C186" s="309"/>
      <c r="D186" s="309"/>
      <c r="E186" s="309"/>
      <c r="F186" s="309"/>
      <c r="L186" s="314"/>
      <c r="M186" s="311"/>
    </row>
    <row r="187" spans="2:17" x14ac:dyDescent="0.25">
      <c r="B187" s="301"/>
      <c r="C187" s="309"/>
      <c r="D187" s="309"/>
      <c r="E187" s="309"/>
      <c r="F187" s="309"/>
      <c r="L187" s="314"/>
      <c r="M187" s="311"/>
    </row>
    <row r="188" spans="2:17" x14ac:dyDescent="0.25">
      <c r="B188" s="301"/>
      <c r="C188" s="309"/>
      <c r="D188" s="309"/>
      <c r="E188" s="309"/>
      <c r="F188" s="309"/>
      <c r="L188" s="314"/>
      <c r="M188" s="311"/>
    </row>
    <row r="189" spans="2:17" x14ac:dyDescent="0.25">
      <c r="B189" s="301"/>
      <c r="C189" s="309"/>
      <c r="D189" s="309"/>
      <c r="E189" s="309"/>
      <c r="F189" s="309"/>
      <c r="L189" s="314"/>
      <c r="M189" s="311"/>
    </row>
    <row r="190" spans="2:17" x14ac:dyDescent="0.25">
      <c r="B190" s="301"/>
      <c r="C190" s="309"/>
      <c r="D190" s="309"/>
      <c r="E190" s="309"/>
      <c r="F190" s="309"/>
      <c r="L190" s="314"/>
      <c r="M190" s="311"/>
    </row>
    <row r="191" spans="2:17" x14ac:dyDescent="0.25">
      <c r="B191" s="301"/>
      <c r="C191" s="309"/>
      <c r="D191" s="309"/>
      <c r="E191" s="309"/>
      <c r="F191" s="309"/>
      <c r="L191" s="314"/>
      <c r="M191" s="311"/>
    </row>
    <row r="192" spans="2:17" x14ac:dyDescent="0.25">
      <c r="B192" s="301"/>
      <c r="C192" s="309"/>
      <c r="D192" s="309"/>
      <c r="E192" s="309"/>
      <c r="F192" s="309"/>
      <c r="L192" s="314"/>
      <c r="M192" s="311"/>
    </row>
    <row r="193" spans="11:13" x14ac:dyDescent="0.25">
      <c r="L193" s="314"/>
      <c r="M193" s="311"/>
    </row>
    <row r="194" spans="11:13" x14ac:dyDescent="0.25">
      <c r="L194" s="314"/>
      <c r="M194" s="311"/>
    </row>
    <row r="195" spans="11:13" x14ac:dyDescent="0.25">
      <c r="L195" s="314"/>
      <c r="M195" s="311"/>
    </row>
    <row r="196" spans="11:13" x14ac:dyDescent="0.25">
      <c r="L196" s="314"/>
      <c r="M196" s="311"/>
    </row>
    <row r="197" spans="11:13" x14ac:dyDescent="0.25">
      <c r="K197" s="296"/>
      <c r="L197" s="314"/>
      <c r="M197" s="311"/>
    </row>
    <row r="198" spans="11:13" x14ac:dyDescent="0.25">
      <c r="M198" s="316"/>
    </row>
  </sheetData>
  <autoFilter ref="A17:X143"/>
  <mergeCells count="9">
    <mergeCell ref="N147:P147"/>
    <mergeCell ref="A6:C8"/>
    <mergeCell ref="G6:G8"/>
    <mergeCell ref="H6:Q6"/>
    <mergeCell ref="R6:S8"/>
    <mergeCell ref="H7:K7"/>
    <mergeCell ref="M7:Q7"/>
    <mergeCell ref="A9:C9"/>
    <mergeCell ref="N146:P146"/>
  </mergeCells>
  <conditionalFormatting sqref="L167:L197">
    <cfRule type="containsText" dxfId="7" priority="1" operator="containsText" text="5020201002">
      <formula>NOT(ISERROR(SEARCH("5020201002",L167)))</formula>
    </cfRule>
    <cfRule type="containsText" dxfId="6" priority="2" operator="containsText" text="5020201010">
      <formula>NOT(ISERROR(SEARCH("5020201010",L167)))</formula>
    </cfRule>
    <cfRule type="containsText" dxfId="5" priority="3" operator="containsText" text="5020201000">
      <formula>NOT(ISERROR(SEARCH("5020201000",L167)))</formula>
    </cfRule>
    <cfRule type="containsText" dxfId="4" priority="4" operator="containsText" text="502020101000">
      <formula>NOT(ISERROR(SEARCH("502020101000",L167)))</formula>
    </cfRule>
  </conditionalFormatting>
  <pageMargins left="0.70866141732283472" right="0.70866141732283472" top="0.74803149606299213" bottom="0.74803149606299213" header="0.31496062992125984" footer="0.31496062992125984"/>
  <pageSetup paperSize="9" scale="37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X187"/>
  <sheetViews>
    <sheetView showGridLines="0" zoomScaleNormal="100" workbookViewId="0">
      <pane xSplit="8" ySplit="15" topLeftCell="I98" activePane="bottomRight" state="frozen"/>
      <selection pane="topRight" activeCell="I1" sqref="I1"/>
      <selection pane="bottomLeft" activeCell="A16" sqref="A16"/>
      <selection pane="bottomRight" activeCell="G124" sqref="G124"/>
    </sheetView>
  </sheetViews>
  <sheetFormatPr defaultColWidth="9.140625" defaultRowHeight="15.75" x14ac:dyDescent="0.25"/>
  <cols>
    <col min="1" max="1" width="2.28515625" style="284" customWidth="1"/>
    <col min="2" max="2" width="18.140625" style="280" customWidth="1"/>
    <col min="3" max="3" width="41" style="294" customWidth="1"/>
    <col min="4" max="6" width="22.140625" style="294" hidden="1" customWidth="1"/>
    <col min="7" max="7" width="33.7109375" style="145" customWidth="1"/>
    <col min="8" max="8" width="28.5703125" style="294" customWidth="1"/>
    <col min="9" max="9" width="27.42578125" style="284" customWidth="1"/>
    <col min="10" max="10" width="18.85546875" style="284" customWidth="1"/>
    <col min="11" max="11" width="17.140625" style="285" customWidth="1"/>
    <col min="12" max="12" width="17.140625" style="286" customWidth="1"/>
    <col min="13" max="13" width="51.85546875" style="284" bestFit="1" customWidth="1"/>
    <col min="14" max="14" width="17.5703125" style="284" customWidth="1"/>
    <col min="15" max="15" width="19" style="284" customWidth="1"/>
    <col min="16" max="16" width="18.85546875" style="284" customWidth="1"/>
    <col min="17" max="17" width="22.7109375" style="284" bestFit="1" customWidth="1"/>
    <col min="18" max="18" width="15.85546875" style="284" customWidth="1"/>
    <col min="19" max="19" width="16.28515625" style="284" customWidth="1"/>
    <col min="20" max="20" width="9.140625" style="284"/>
    <col min="21" max="21" width="23.5703125" style="284" bestFit="1" customWidth="1"/>
    <col min="22" max="23" width="23.140625" style="284" bestFit="1" customWidth="1"/>
    <col min="24" max="24" width="17" style="284" bestFit="1" customWidth="1"/>
    <col min="25" max="16384" width="9.140625" style="284"/>
  </cols>
  <sheetData>
    <row r="1" spans="1:22" s="289" customFormat="1" ht="31.15" customHeight="1" x14ac:dyDescent="0.25">
      <c r="A1" s="416" t="s">
        <v>439</v>
      </c>
      <c r="B1" s="417"/>
      <c r="C1" s="418"/>
      <c r="D1" s="418"/>
      <c r="E1" s="418"/>
      <c r="F1" s="418"/>
      <c r="G1" s="282"/>
      <c r="H1" s="287"/>
      <c r="K1" s="296"/>
      <c r="L1" s="297"/>
    </row>
    <row r="2" spans="1:22" s="289" customFormat="1" ht="15.6" customHeight="1" x14ac:dyDescent="0.25">
      <c r="A2" s="416" t="s">
        <v>1</v>
      </c>
      <c r="B2" s="417"/>
      <c r="C2" s="418"/>
      <c r="D2" s="418"/>
      <c r="E2" s="418"/>
      <c r="F2" s="418"/>
      <c r="G2" s="282"/>
      <c r="H2" s="287"/>
      <c r="K2" s="296"/>
      <c r="L2" s="297"/>
    </row>
    <row r="3" spans="1:22" s="289" customFormat="1" x14ac:dyDescent="0.25">
      <c r="A3" s="416" t="s">
        <v>460</v>
      </c>
      <c r="B3" s="417"/>
      <c r="C3" s="418"/>
      <c r="D3" s="418"/>
      <c r="E3" s="418"/>
      <c r="F3" s="418"/>
      <c r="G3" s="282"/>
      <c r="H3" s="307"/>
      <c r="I3" s="290"/>
      <c r="K3" s="296"/>
      <c r="L3" s="297"/>
    </row>
    <row r="4" spans="1:22" s="289" customFormat="1" x14ac:dyDescent="0.25">
      <c r="A4" s="427" t="s">
        <v>2</v>
      </c>
      <c r="B4" s="428"/>
      <c r="C4" s="429"/>
      <c r="D4" s="429"/>
      <c r="E4" s="429"/>
      <c r="F4" s="429"/>
      <c r="G4" s="430"/>
      <c r="H4" s="431"/>
      <c r="I4" s="432"/>
      <c r="J4" s="432"/>
      <c r="K4" s="433"/>
      <c r="L4" s="434"/>
      <c r="M4" s="435">
        <f>Q129-G128</f>
        <v>0</v>
      </c>
      <c r="N4" s="436"/>
      <c r="O4" s="436"/>
      <c r="P4" s="437"/>
      <c r="Q4" s="432"/>
      <c r="R4" s="432"/>
      <c r="S4" s="432"/>
    </row>
    <row r="5" spans="1:22" ht="16.149999999999999" hidden="1" customHeight="1" x14ac:dyDescent="0.25">
      <c r="A5" s="415"/>
      <c r="B5" s="419"/>
      <c r="C5" s="414"/>
      <c r="D5" s="420" t="s">
        <v>258</v>
      </c>
      <c r="E5" s="420" t="s">
        <v>257</v>
      </c>
      <c r="F5" s="420" t="s">
        <v>256</v>
      </c>
      <c r="G5" s="421"/>
      <c r="H5" s="422"/>
      <c r="I5" s="423"/>
      <c r="J5" s="423"/>
      <c r="K5" s="424"/>
      <c r="L5" s="425"/>
      <c r="M5" s="423"/>
      <c r="N5" s="423"/>
      <c r="O5" s="423"/>
      <c r="P5" s="423"/>
      <c r="Q5" s="423"/>
      <c r="R5" s="423"/>
      <c r="S5" s="426"/>
    </row>
    <row r="6" spans="1:22" ht="16.5" customHeight="1" x14ac:dyDescent="0.25">
      <c r="A6" s="457" t="s">
        <v>3</v>
      </c>
      <c r="B6" s="457"/>
      <c r="C6" s="457"/>
      <c r="D6" s="326"/>
      <c r="E6" s="326"/>
      <c r="F6" s="326"/>
      <c r="G6" s="458" t="s">
        <v>4</v>
      </c>
      <c r="H6" s="457" t="s">
        <v>5</v>
      </c>
      <c r="I6" s="457"/>
      <c r="J6" s="457"/>
      <c r="K6" s="457"/>
      <c r="L6" s="457"/>
      <c r="M6" s="457"/>
      <c r="N6" s="457"/>
      <c r="O6" s="457"/>
      <c r="P6" s="457"/>
      <c r="Q6" s="457"/>
      <c r="R6" s="490" t="s">
        <v>364</v>
      </c>
      <c r="S6" s="490"/>
    </row>
    <row r="7" spans="1:22" x14ac:dyDescent="0.25">
      <c r="A7" s="457"/>
      <c r="B7" s="457"/>
      <c r="C7" s="457"/>
      <c r="D7" s="326"/>
      <c r="E7" s="326"/>
      <c r="F7" s="326"/>
      <c r="G7" s="458"/>
      <c r="H7" s="457" t="s">
        <v>7</v>
      </c>
      <c r="I7" s="457"/>
      <c r="J7" s="457"/>
      <c r="K7" s="457"/>
      <c r="L7" s="378"/>
      <c r="M7" s="457" t="s">
        <v>8</v>
      </c>
      <c r="N7" s="457"/>
      <c r="O7" s="457"/>
      <c r="P7" s="457"/>
      <c r="Q7" s="457"/>
      <c r="R7" s="490"/>
      <c r="S7" s="490"/>
    </row>
    <row r="8" spans="1:22" s="306" customFormat="1" x14ac:dyDescent="0.25">
      <c r="A8" s="457"/>
      <c r="B8" s="457"/>
      <c r="C8" s="457"/>
      <c r="D8" s="326"/>
      <c r="E8" s="326"/>
      <c r="F8" s="326"/>
      <c r="G8" s="458"/>
      <c r="H8" s="379" t="s">
        <v>9</v>
      </c>
      <c r="I8" s="379" t="s">
        <v>10</v>
      </c>
      <c r="J8" s="379" t="s">
        <v>11</v>
      </c>
      <c r="K8" s="195" t="s">
        <v>12</v>
      </c>
      <c r="L8" s="195"/>
      <c r="M8" s="379" t="s">
        <v>9</v>
      </c>
      <c r="N8" s="379" t="s">
        <v>10</v>
      </c>
      <c r="O8" s="379" t="s">
        <v>11</v>
      </c>
      <c r="P8" s="379" t="s">
        <v>13</v>
      </c>
      <c r="Q8" s="379" t="s">
        <v>14</v>
      </c>
      <c r="R8" s="490"/>
      <c r="S8" s="490"/>
    </row>
    <row r="9" spans="1:22" ht="33" customHeight="1" x14ac:dyDescent="0.25">
      <c r="A9" s="491" t="s">
        <v>363</v>
      </c>
      <c r="B9" s="491"/>
      <c r="C9" s="491"/>
      <c r="D9" s="328"/>
      <c r="E9" s="328"/>
      <c r="F9" s="328"/>
      <c r="G9" s="109">
        <v>1316230465.0899999</v>
      </c>
      <c r="H9" s="110"/>
      <c r="I9" s="111"/>
      <c r="J9" s="111"/>
      <c r="K9" s="196"/>
      <c r="L9" s="218"/>
      <c r="M9" s="111"/>
      <c r="N9" s="111"/>
      <c r="O9" s="111"/>
      <c r="P9" s="111"/>
      <c r="Q9" s="111"/>
      <c r="R9" s="111"/>
      <c r="S9" s="111"/>
    </row>
    <row r="10" spans="1:22" x14ac:dyDescent="0.25">
      <c r="A10" s="111"/>
      <c r="B10" s="273"/>
      <c r="C10" s="110"/>
      <c r="D10" s="110"/>
      <c r="E10" s="110"/>
      <c r="F10" s="110"/>
      <c r="G10" s="114"/>
      <c r="H10" s="110"/>
      <c r="I10" s="111"/>
      <c r="J10" s="111"/>
      <c r="K10" s="196"/>
      <c r="L10" s="218"/>
      <c r="M10" s="114"/>
      <c r="N10" s="114"/>
      <c r="O10" s="114"/>
      <c r="P10" s="114"/>
      <c r="Q10" s="114"/>
      <c r="R10" s="114"/>
      <c r="S10" s="114"/>
      <c r="T10" s="145"/>
      <c r="U10" s="145"/>
      <c r="V10" s="145"/>
    </row>
    <row r="11" spans="1:22" s="289" customFormat="1" ht="15" customHeight="1" x14ac:dyDescent="0.25">
      <c r="A11" s="277"/>
      <c r="B11" s="378"/>
      <c r="C11" s="116" t="s">
        <v>16</v>
      </c>
      <c r="D11" s="116"/>
      <c r="E11" s="116"/>
      <c r="F11" s="116"/>
      <c r="G11" s="109">
        <f>SUM(G13:G14)</f>
        <v>0</v>
      </c>
      <c r="H11" s="117"/>
      <c r="I11" s="109">
        <v>0</v>
      </c>
      <c r="J11" s="109">
        <f>SUM(J13:J14)</f>
        <v>0</v>
      </c>
      <c r="K11" s="197">
        <f>+J11</f>
        <v>0</v>
      </c>
      <c r="L11" s="219"/>
      <c r="M11" s="109"/>
      <c r="N11" s="109"/>
      <c r="O11" s="109"/>
      <c r="P11" s="109">
        <f>SUM(P12:P13)</f>
        <v>0</v>
      </c>
      <c r="Q11" s="109">
        <f>SUM(Q13:Q14)</f>
        <v>0</v>
      </c>
      <c r="R11" s="109"/>
      <c r="S11" s="109"/>
      <c r="T11" s="282"/>
      <c r="U11" s="282"/>
      <c r="V11" s="282"/>
    </row>
    <row r="12" spans="1:22" s="318" customFormat="1" ht="15.6" customHeight="1" x14ac:dyDescent="0.25">
      <c r="A12" s="278"/>
      <c r="B12" s="271"/>
      <c r="C12" s="272" t="s">
        <v>17</v>
      </c>
      <c r="D12" s="272"/>
      <c r="E12" s="272"/>
      <c r="F12" s="272"/>
      <c r="G12" s="120"/>
      <c r="H12" s="121"/>
      <c r="I12" s="120"/>
      <c r="J12" s="120"/>
      <c r="K12" s="198"/>
      <c r="L12" s="220"/>
      <c r="M12" s="120"/>
      <c r="N12" s="120"/>
      <c r="O12" s="120"/>
      <c r="P12" s="120"/>
      <c r="Q12" s="120"/>
      <c r="R12" s="120"/>
      <c r="S12" s="120"/>
      <c r="T12" s="317"/>
      <c r="U12" s="317"/>
      <c r="V12" s="317"/>
    </row>
    <row r="13" spans="1:22" ht="15.6" customHeight="1" x14ac:dyDescent="0.25">
      <c r="A13" s="111"/>
      <c r="B13" s="273"/>
      <c r="C13" s="274" t="s">
        <v>18</v>
      </c>
      <c r="D13" s="274"/>
      <c r="E13" s="274"/>
      <c r="F13" s="274"/>
      <c r="G13" s="114"/>
      <c r="H13" s="125" t="s">
        <v>19</v>
      </c>
      <c r="I13" s="114">
        <v>0</v>
      </c>
      <c r="J13" s="114"/>
      <c r="K13" s="196">
        <f>J13</f>
        <v>0</v>
      </c>
      <c r="L13" s="218"/>
      <c r="M13" s="114" t="s">
        <v>20</v>
      </c>
      <c r="N13" s="114"/>
      <c r="O13" s="114"/>
      <c r="P13" s="114">
        <v>0</v>
      </c>
      <c r="Q13" s="114"/>
      <c r="R13" s="114"/>
      <c r="S13" s="114"/>
      <c r="T13" s="145"/>
      <c r="U13" s="145"/>
      <c r="V13" s="145"/>
    </row>
    <row r="14" spans="1:22" ht="15.6" customHeight="1" x14ac:dyDescent="0.25">
      <c r="A14" s="111"/>
      <c r="B14" s="273"/>
      <c r="C14" s="274" t="s">
        <v>21</v>
      </c>
      <c r="D14" s="274"/>
      <c r="E14" s="274"/>
      <c r="F14" s="274"/>
      <c r="G14" s="114"/>
      <c r="H14" s="125" t="s">
        <v>19</v>
      </c>
      <c r="I14" s="114"/>
      <c r="J14" s="114">
        <f>G14</f>
        <v>0</v>
      </c>
      <c r="K14" s="196">
        <f>J14</f>
        <v>0</v>
      </c>
      <c r="L14" s="218"/>
      <c r="M14" s="114" t="s">
        <v>22</v>
      </c>
      <c r="N14" s="114"/>
      <c r="O14" s="114"/>
      <c r="P14" s="114"/>
      <c r="Q14" s="114">
        <f>N14*-1</f>
        <v>0</v>
      </c>
      <c r="R14" s="114"/>
      <c r="S14" s="114"/>
      <c r="T14" s="145"/>
      <c r="U14" s="145"/>
      <c r="V14" s="145"/>
    </row>
    <row r="15" spans="1:22" s="289" customFormat="1" x14ac:dyDescent="0.25">
      <c r="A15" s="277"/>
      <c r="B15" s="378" t="s">
        <v>23</v>
      </c>
      <c r="C15" s="116"/>
      <c r="D15" s="116"/>
      <c r="E15" s="116"/>
      <c r="F15" s="116"/>
      <c r="G15" s="109">
        <f>SUM(G17:G122)</f>
        <v>-1201386694.0931666</v>
      </c>
      <c r="H15" s="117"/>
      <c r="I15" s="109">
        <f>SUM(I17:I118)</f>
        <v>1158521957.9691665</v>
      </c>
      <c r="J15" s="109">
        <f>SUM(J17:J118)</f>
        <v>-44820600.260000005</v>
      </c>
      <c r="K15" s="197">
        <f>SUM(K17:K122)</f>
        <v>-1204258758.0591664</v>
      </c>
      <c r="L15" s="219"/>
      <c r="M15" s="109"/>
      <c r="N15" s="109">
        <f>SUM(N17:N121)</f>
        <v>-9108484.2700000089</v>
      </c>
      <c r="O15" s="109">
        <f>SUM(O17:O121)</f>
        <v>1190463209.8231666</v>
      </c>
      <c r="P15" s="109">
        <f>SUM(P17:P121)</f>
        <v>-1124691987.4831665</v>
      </c>
      <c r="Q15" s="109">
        <f>SUM(Q17:Q122)</f>
        <v>76694706.609999999</v>
      </c>
      <c r="R15" s="109"/>
      <c r="S15" s="109"/>
      <c r="T15" s="282"/>
      <c r="U15" s="282"/>
      <c r="V15" s="282"/>
    </row>
    <row r="16" spans="1:22" s="318" customFormat="1" ht="31.5" x14ac:dyDescent="0.25">
      <c r="A16" s="278"/>
      <c r="B16" s="271" t="s">
        <v>191</v>
      </c>
      <c r="C16" s="272" t="s">
        <v>24</v>
      </c>
      <c r="D16" s="272"/>
      <c r="E16" s="272"/>
      <c r="F16" s="272"/>
      <c r="G16" s="120"/>
      <c r="H16" s="121"/>
      <c r="I16" s="120"/>
      <c r="J16" s="120"/>
      <c r="K16" s="198"/>
      <c r="L16" s="221"/>
      <c r="M16" s="120"/>
      <c r="N16" s="120"/>
      <c r="O16" s="120"/>
      <c r="P16" s="120"/>
      <c r="Q16" s="120"/>
      <c r="R16" s="120"/>
      <c r="S16" s="120"/>
      <c r="T16" s="317"/>
      <c r="U16" s="317"/>
      <c r="V16" s="317"/>
    </row>
    <row r="17" spans="1:22" ht="31.5" x14ac:dyDescent="0.25">
      <c r="A17" s="111"/>
      <c r="B17" s="273">
        <v>5010102000</v>
      </c>
      <c r="C17" s="274" t="s">
        <v>26</v>
      </c>
      <c r="D17" s="275">
        <f>IFERROR(VLOOKUP(B17,'WORKING PAPER FC1'!$I$19:$J$31,2,FALSE),0)</f>
        <v>0</v>
      </c>
      <c r="E17" s="274"/>
      <c r="F17" s="275">
        <f>IFERROR(VLOOKUP(B17,'WORKING PAPER FC1'!$I$11:$J$12,2,FALSE),0)</f>
        <v>0</v>
      </c>
      <c r="G17" s="114">
        <f>-629238.42-50000+'WORKING PAPER FC1'!BD4+'WORKING PAPER FC1'!BP4</f>
        <v>-747982.63</v>
      </c>
      <c r="H17" s="274" t="s">
        <v>436</v>
      </c>
      <c r="I17" s="114">
        <f t="shared" ref="I17:I26" si="0">G17*-1</f>
        <v>747982.63</v>
      </c>
      <c r="J17" s="114"/>
      <c r="K17" s="196">
        <f t="shared" ref="K17:K21" si="1">G17</f>
        <v>-747982.63</v>
      </c>
      <c r="L17" s="222">
        <v>2010101000</v>
      </c>
      <c r="M17" s="114" t="s">
        <v>25</v>
      </c>
      <c r="N17" s="114"/>
      <c r="O17" s="114">
        <f>I17</f>
        <v>747982.63</v>
      </c>
      <c r="P17" s="114"/>
      <c r="Q17" s="114">
        <f t="shared" ref="Q17:Q29" si="2">O17</f>
        <v>747982.63</v>
      </c>
      <c r="R17" s="114"/>
      <c r="S17" s="114"/>
      <c r="T17" s="145"/>
      <c r="U17" s="145"/>
      <c r="V17" s="145"/>
    </row>
    <row r="18" spans="1:22" ht="31.5" hidden="1" x14ac:dyDescent="0.25">
      <c r="A18" s="111"/>
      <c r="B18" s="273">
        <v>5010102000</v>
      </c>
      <c r="C18" s="274" t="s">
        <v>26</v>
      </c>
      <c r="D18" s="275">
        <f>IFERROR(VLOOKUP(B18,'WORKING PAPER FC1'!$I$19:$J$31,2,FALSE),0)</f>
        <v>0</v>
      </c>
      <c r="E18" s="274"/>
      <c r="F18" s="275">
        <f>IFERROR(VLOOKUP(B18,'WORKING PAPER FC1'!$I$11:$J$12,2,FALSE),0)</f>
        <v>0</v>
      </c>
      <c r="G18" s="114"/>
      <c r="H18" s="274" t="s">
        <v>436</v>
      </c>
      <c r="I18" s="114">
        <f t="shared" si="0"/>
        <v>0</v>
      </c>
      <c r="J18" s="114"/>
      <c r="K18" s="196">
        <f t="shared" si="1"/>
        <v>0</v>
      </c>
      <c r="L18" s="222">
        <v>2020102001</v>
      </c>
      <c r="M18" s="114" t="s">
        <v>244</v>
      </c>
      <c r="N18" s="114"/>
      <c r="O18" s="114">
        <f t="shared" ref="O18:O29" si="3">I18</f>
        <v>0</v>
      </c>
      <c r="P18" s="114"/>
      <c r="Q18" s="114">
        <f t="shared" si="2"/>
        <v>0</v>
      </c>
      <c r="R18" s="114"/>
      <c r="S18" s="114"/>
      <c r="T18" s="145"/>
      <c r="U18" s="145"/>
      <c r="V18" s="145"/>
    </row>
    <row r="19" spans="1:22" ht="31.5" hidden="1" x14ac:dyDescent="0.25">
      <c r="A19" s="111"/>
      <c r="B19" s="273">
        <v>5010102000</v>
      </c>
      <c r="C19" s="274" t="s">
        <v>26</v>
      </c>
      <c r="D19" s="275">
        <f>IFERROR(VLOOKUP(B19,'WORKING PAPER FC1'!$I$19:$J$31,2,FALSE),0)</f>
        <v>0</v>
      </c>
      <c r="E19" s="274"/>
      <c r="F19" s="275">
        <f>IFERROR(VLOOKUP(B19,'WORKING PAPER FC1'!$I$11:$J$12,2,FALSE),0)</f>
        <v>0</v>
      </c>
      <c r="G19" s="114"/>
      <c r="H19" s="274" t="s">
        <v>436</v>
      </c>
      <c r="I19" s="114">
        <f t="shared" si="0"/>
        <v>0</v>
      </c>
      <c r="J19" s="114"/>
      <c r="K19" s="196">
        <f t="shared" si="1"/>
        <v>0</v>
      </c>
      <c r="L19" s="222">
        <v>2020104000</v>
      </c>
      <c r="M19" s="114" t="s">
        <v>190</v>
      </c>
      <c r="N19" s="114"/>
      <c r="O19" s="114">
        <f t="shared" si="3"/>
        <v>0</v>
      </c>
      <c r="P19" s="114"/>
      <c r="Q19" s="114">
        <f t="shared" si="2"/>
        <v>0</v>
      </c>
      <c r="R19" s="114"/>
      <c r="S19" s="114"/>
      <c r="T19" s="145"/>
      <c r="U19" s="145"/>
      <c r="V19" s="145"/>
    </row>
    <row r="20" spans="1:22" ht="31.5" hidden="1" x14ac:dyDescent="0.25">
      <c r="A20" s="111"/>
      <c r="B20" s="273">
        <v>5010102000</v>
      </c>
      <c r="C20" s="274" t="s">
        <v>26</v>
      </c>
      <c r="D20" s="275">
        <f>IFERROR(VLOOKUP(B20,'WORKING PAPER FC1'!$I$19:$J$31,2,FALSE),0)</f>
        <v>0</v>
      </c>
      <c r="E20" s="274"/>
      <c r="F20" s="275">
        <f>IFERROR(VLOOKUP(B20,'WORKING PAPER FC1'!$I$11:$J$12,2,FALSE),0)</f>
        <v>0</v>
      </c>
      <c r="G20" s="114"/>
      <c r="H20" s="274" t="s">
        <v>26</v>
      </c>
      <c r="I20" s="114">
        <f t="shared" si="0"/>
        <v>0</v>
      </c>
      <c r="J20" s="114"/>
      <c r="K20" s="196">
        <f t="shared" si="1"/>
        <v>0</v>
      </c>
      <c r="L20" s="222">
        <v>2020103001</v>
      </c>
      <c r="M20" s="114" t="s">
        <v>245</v>
      </c>
      <c r="N20" s="114"/>
      <c r="O20" s="114">
        <f t="shared" si="3"/>
        <v>0</v>
      </c>
      <c r="P20" s="114"/>
      <c r="Q20" s="114">
        <f t="shared" si="2"/>
        <v>0</v>
      </c>
      <c r="R20" s="114"/>
      <c r="S20" s="114"/>
      <c r="T20" s="145"/>
      <c r="U20" s="145"/>
      <c r="V20" s="145"/>
    </row>
    <row r="21" spans="1:22" ht="31.5" hidden="1" x14ac:dyDescent="0.25">
      <c r="A21" s="111"/>
      <c r="B21" s="273">
        <v>5010301000</v>
      </c>
      <c r="C21" s="274" t="s">
        <v>27</v>
      </c>
      <c r="D21" s="275">
        <f>IFERROR(VLOOKUP(B21,'WORKING PAPER FC1'!$I$19:$J$31,2,FALSE),0)</f>
        <v>0</v>
      </c>
      <c r="E21" s="274"/>
      <c r="F21" s="275">
        <f>IFERROR(VLOOKUP(B21,'WORKING PAPER FC1'!$I$11:$J$12,2,FALSE),0)</f>
        <v>0</v>
      </c>
      <c r="G21" s="114"/>
      <c r="H21" s="274" t="s">
        <v>27</v>
      </c>
      <c r="I21" s="114">
        <f t="shared" si="0"/>
        <v>0</v>
      </c>
      <c r="J21" s="114"/>
      <c r="K21" s="196">
        <f t="shared" si="1"/>
        <v>0</v>
      </c>
      <c r="L21" s="222">
        <v>2010101000</v>
      </c>
      <c r="M21" s="114" t="s">
        <v>25</v>
      </c>
      <c r="N21" s="114"/>
      <c r="O21" s="114">
        <f t="shared" si="3"/>
        <v>0</v>
      </c>
      <c r="P21" s="114"/>
      <c r="Q21" s="114">
        <f t="shared" si="2"/>
        <v>0</v>
      </c>
      <c r="R21" s="114"/>
      <c r="S21" s="114"/>
      <c r="T21" s="145"/>
      <c r="U21" s="145"/>
      <c r="V21" s="145"/>
    </row>
    <row r="22" spans="1:22" x14ac:dyDescent="0.25">
      <c r="A22" s="111"/>
      <c r="B22" s="273">
        <v>5050104001</v>
      </c>
      <c r="C22" s="274" t="s">
        <v>178</v>
      </c>
      <c r="D22" s="275"/>
      <c r="E22" s="274"/>
      <c r="F22" s="275"/>
      <c r="G22" s="114">
        <v>-4077156.99</v>
      </c>
      <c r="H22" s="274" t="s">
        <v>178</v>
      </c>
      <c r="I22" s="114">
        <f>G22*-1</f>
        <v>4077156.99</v>
      </c>
      <c r="J22" s="114"/>
      <c r="K22" s="196">
        <f>G22</f>
        <v>-4077156.99</v>
      </c>
      <c r="L22" s="222">
        <v>1060401100</v>
      </c>
      <c r="M22" s="114" t="s">
        <v>396</v>
      </c>
      <c r="N22" s="114"/>
      <c r="O22" s="114">
        <f t="shared" si="3"/>
        <v>4077156.99</v>
      </c>
      <c r="P22" s="114">
        <f>G22</f>
        <v>-4077156.99</v>
      </c>
      <c r="Q22" s="114"/>
      <c r="R22" s="114"/>
      <c r="S22" s="114"/>
      <c r="T22" s="145"/>
      <c r="U22" s="145"/>
      <c r="V22" s="145"/>
    </row>
    <row r="23" spans="1:22" x14ac:dyDescent="0.25">
      <c r="A23" s="111"/>
      <c r="B23" s="273">
        <v>3010101000</v>
      </c>
      <c r="C23" s="274" t="s">
        <v>397</v>
      </c>
      <c r="D23" s="275"/>
      <c r="E23" s="274"/>
      <c r="F23" s="275"/>
      <c r="G23" s="114">
        <v>-502847.38400000002</v>
      </c>
      <c r="H23" s="274"/>
      <c r="I23" s="114"/>
      <c r="J23" s="114"/>
      <c r="K23" s="196"/>
      <c r="L23" s="222">
        <v>1060401100</v>
      </c>
      <c r="M23" s="114" t="s">
        <v>396</v>
      </c>
      <c r="N23" s="114"/>
      <c r="O23" s="114">
        <f>G23*-1</f>
        <v>502847.38400000002</v>
      </c>
      <c r="P23" s="114">
        <f>G23</f>
        <v>-502847.38400000002</v>
      </c>
      <c r="Q23" s="114"/>
      <c r="R23" s="114"/>
      <c r="S23" s="114">
        <v>-502847.38400000002</v>
      </c>
      <c r="T23" s="145"/>
      <c r="U23" s="145"/>
      <c r="V23" s="145"/>
    </row>
    <row r="24" spans="1:22" x14ac:dyDescent="0.25">
      <c r="A24" s="111"/>
      <c r="B24" s="273">
        <v>3010101000</v>
      </c>
      <c r="C24" s="274" t="s">
        <v>397</v>
      </c>
      <c r="D24" s="275"/>
      <c r="E24" s="274"/>
      <c r="F24" s="275"/>
      <c r="G24" s="114">
        <v>-5313873</v>
      </c>
      <c r="H24" s="274"/>
      <c r="I24" s="114"/>
      <c r="J24" s="114"/>
      <c r="K24" s="196"/>
      <c r="L24" s="222">
        <v>1069803000</v>
      </c>
      <c r="M24" s="114" t="s">
        <v>398</v>
      </c>
      <c r="N24" s="114"/>
      <c r="O24" s="114">
        <f>G24*-1</f>
        <v>5313873</v>
      </c>
      <c r="P24" s="114">
        <f>G24</f>
        <v>-5313873</v>
      </c>
      <c r="Q24" s="114"/>
      <c r="R24" s="114"/>
      <c r="S24" s="114">
        <v>-5313873</v>
      </c>
      <c r="T24" s="145"/>
      <c r="U24" s="145"/>
      <c r="V24" s="145"/>
    </row>
    <row r="25" spans="1:22" x14ac:dyDescent="0.25">
      <c r="A25" s="111"/>
      <c r="B25" s="273">
        <v>5020502001</v>
      </c>
      <c r="C25" s="274" t="s">
        <v>56</v>
      </c>
      <c r="D25" s="275">
        <f>IFERROR(VLOOKUP(B25,'WORKING PAPER FC1'!$I$19:$J$31,2,FALSE),0)</f>
        <v>0</v>
      </c>
      <c r="E25" s="274"/>
      <c r="F25" s="275">
        <f>IFERROR(VLOOKUP(B25,'WORKING PAPER FC1'!$I$11:$J$12,2,FALSE),0)</f>
        <v>0</v>
      </c>
      <c r="G25" s="114">
        <v>-4398.93</v>
      </c>
      <c r="H25" s="274" t="s">
        <v>56</v>
      </c>
      <c r="I25" s="114">
        <f t="shared" si="0"/>
        <v>4398.93</v>
      </c>
      <c r="J25" s="114"/>
      <c r="K25" s="196">
        <f>-I25-J25</f>
        <v>-4398.93</v>
      </c>
      <c r="L25" s="222">
        <v>2010101000</v>
      </c>
      <c r="M25" s="114" t="s">
        <v>25</v>
      </c>
      <c r="N25" s="114">
        <f>J25</f>
        <v>0</v>
      </c>
      <c r="O25" s="114">
        <f>I25</f>
        <v>4398.93</v>
      </c>
      <c r="P25" s="114"/>
      <c r="Q25" s="114">
        <f>N25+O25</f>
        <v>4398.93</v>
      </c>
      <c r="R25" s="114"/>
      <c r="S25" s="114"/>
      <c r="T25" s="145"/>
      <c r="U25" s="145"/>
      <c r="V25" s="145"/>
    </row>
    <row r="26" spans="1:22" x14ac:dyDescent="0.25">
      <c r="A26" s="111"/>
      <c r="B26" s="273">
        <v>5020101000</v>
      </c>
      <c r="C26" s="274" t="s">
        <v>28</v>
      </c>
      <c r="D26" s="275">
        <f>IFERROR(VLOOKUP(B26,'WORKING PAPER FC1'!$I$19:$J$31,2,FALSE),0)</f>
        <v>0</v>
      </c>
      <c r="E26" s="274"/>
      <c r="F26" s="275">
        <f>IFERROR(VLOOKUP(B26,'WORKING PAPER FC1'!$I$11:$J$12,2,FALSE),0)</f>
        <v>0</v>
      </c>
      <c r="G26" s="114">
        <v>-3782106.6700000004</v>
      </c>
      <c r="H26" s="110" t="s">
        <v>28</v>
      </c>
      <c r="I26" s="114">
        <f t="shared" si="0"/>
        <v>3782106.6700000004</v>
      </c>
      <c r="J26" s="114"/>
      <c r="K26" s="196">
        <f>-I26-J26</f>
        <v>-3782106.6700000004</v>
      </c>
      <c r="L26" s="222">
        <v>2010101000</v>
      </c>
      <c r="M26" s="114" t="s">
        <v>25</v>
      </c>
      <c r="N26" s="114">
        <f>J26</f>
        <v>0</v>
      </c>
      <c r="O26" s="114">
        <f>I26</f>
        <v>3782106.6700000004</v>
      </c>
      <c r="P26" s="114"/>
      <c r="Q26" s="114">
        <f>N26+O26</f>
        <v>3782106.6700000004</v>
      </c>
      <c r="R26" s="114"/>
      <c r="S26" s="114"/>
      <c r="T26" s="145"/>
      <c r="U26" s="145"/>
      <c r="V26" s="145"/>
    </row>
    <row r="27" spans="1:22" x14ac:dyDescent="0.25">
      <c r="A27" s="111"/>
      <c r="B27" s="273">
        <v>5020201002</v>
      </c>
      <c r="C27" s="274" t="s">
        <v>29</v>
      </c>
      <c r="D27" s="275">
        <f>IFERROR(VLOOKUP(B27,'WORKING PAPER FC1'!$I$19:$J$31,2,FALSE),0)</f>
        <v>0</v>
      </c>
      <c r="E27" s="274"/>
      <c r="F27" s="275">
        <f>IFERROR(VLOOKUP(B27,'WORKING PAPER FC1'!$I$11:$J$12,2,FALSE),0)</f>
        <v>0</v>
      </c>
      <c r="G27" s="114">
        <f>-14361245.79-94800+'WORKING PAPER FC1'!BD5</f>
        <v>-14576045.789999999</v>
      </c>
      <c r="H27" s="110" t="s">
        <v>29</v>
      </c>
      <c r="I27" s="114">
        <f t="shared" ref="I27:I36" si="4">G27*-1-J27</f>
        <v>14576045.789999999</v>
      </c>
      <c r="J27" s="114"/>
      <c r="K27" s="196">
        <f t="shared" ref="K27:K37" si="5">G27</f>
        <v>-14576045.789999999</v>
      </c>
      <c r="L27" s="222">
        <v>2010101000</v>
      </c>
      <c r="M27" s="114" t="s">
        <v>25</v>
      </c>
      <c r="N27" s="114"/>
      <c r="O27" s="114">
        <f t="shared" si="3"/>
        <v>14576045.789999999</v>
      </c>
      <c r="P27" s="114"/>
      <c r="Q27" s="114">
        <f t="shared" si="2"/>
        <v>14576045.789999999</v>
      </c>
      <c r="R27" s="114"/>
      <c r="S27" s="114"/>
      <c r="T27" s="145"/>
      <c r="U27" s="145"/>
      <c r="V27" s="145"/>
    </row>
    <row r="28" spans="1:22" x14ac:dyDescent="0.25">
      <c r="A28" s="111"/>
      <c r="B28" s="273">
        <v>5021202000</v>
      </c>
      <c r="C28" s="274" t="s">
        <v>202</v>
      </c>
      <c r="D28" s="275">
        <f>IFERROR(VLOOKUP(B28,'WORKING PAPER FC1'!$I$19:$J$31,2,FALSE),0)</f>
        <v>0</v>
      </c>
      <c r="E28" s="274"/>
      <c r="F28" s="275">
        <f>IFERROR(VLOOKUP(B28,'WORKING PAPER FC1'!$I$11:$J$12,2,FALSE),0)</f>
        <v>0</v>
      </c>
      <c r="G28" s="114">
        <v>-223988.21</v>
      </c>
      <c r="H28" s="274" t="s">
        <v>202</v>
      </c>
      <c r="I28" s="114">
        <f t="shared" si="4"/>
        <v>223988.21</v>
      </c>
      <c r="J28" s="114"/>
      <c r="K28" s="196">
        <f>G28</f>
        <v>-223988.21</v>
      </c>
      <c r="L28" s="222">
        <v>2010101000</v>
      </c>
      <c r="M28" s="114" t="s">
        <v>25</v>
      </c>
      <c r="N28" s="114"/>
      <c r="O28" s="114">
        <f t="shared" si="3"/>
        <v>223988.21</v>
      </c>
      <c r="P28" s="114"/>
      <c r="Q28" s="114">
        <f t="shared" si="2"/>
        <v>223988.21</v>
      </c>
      <c r="R28" s="114"/>
      <c r="S28" s="114"/>
      <c r="T28" s="145"/>
      <c r="U28" s="145"/>
      <c r="V28" s="145"/>
    </row>
    <row r="29" spans="1:22" x14ac:dyDescent="0.25">
      <c r="A29" s="111"/>
      <c r="B29" s="273">
        <v>5021203000</v>
      </c>
      <c r="C29" s="274" t="s">
        <v>46</v>
      </c>
      <c r="D29" s="275">
        <f>IFERROR(VLOOKUP(B29,'WORKING PAPER FC1'!$I$19:$J$31,2,FALSE),0)</f>
        <v>0</v>
      </c>
      <c r="E29" s="274"/>
      <c r="F29" s="275">
        <f>IFERROR(VLOOKUP(B29,'WORKING PAPER FC1'!$I$11:$J$12,2,FALSE),0)</f>
        <v>0</v>
      </c>
      <c r="G29" s="114">
        <v>-2198453.04</v>
      </c>
      <c r="H29" s="274" t="s">
        <v>46</v>
      </c>
      <c r="I29" s="114">
        <f t="shared" si="4"/>
        <v>2198453.04</v>
      </c>
      <c r="J29" s="114"/>
      <c r="K29" s="196">
        <f t="shared" si="5"/>
        <v>-2198453.04</v>
      </c>
      <c r="L29" s="222">
        <v>2010101000</v>
      </c>
      <c r="M29" s="114" t="s">
        <v>25</v>
      </c>
      <c r="N29" s="114"/>
      <c r="O29" s="114">
        <f t="shared" si="3"/>
        <v>2198453.04</v>
      </c>
      <c r="P29" s="114"/>
      <c r="Q29" s="114">
        <f t="shared" si="2"/>
        <v>2198453.04</v>
      </c>
      <c r="R29" s="114"/>
      <c r="S29" s="114"/>
      <c r="T29" s="145"/>
      <c r="U29" s="145"/>
      <c r="V29" s="145"/>
    </row>
    <row r="30" spans="1:22" x14ac:dyDescent="0.25">
      <c r="A30" s="111"/>
      <c r="B30" s="273">
        <v>5021499000</v>
      </c>
      <c r="C30" s="274" t="s">
        <v>34</v>
      </c>
      <c r="D30" s="275">
        <f>IFERROR(VLOOKUP(B30,'WORKING PAPER FC1'!$I$19:$J$31,2,FALSE),0)</f>
        <v>0</v>
      </c>
      <c r="E30" s="274"/>
      <c r="F30" s="275">
        <v>0</v>
      </c>
      <c r="G30" s="114">
        <f>-18919917.7+'WORKING PAPER FC1'!BP13</f>
        <v>-17774070.719999999</v>
      </c>
      <c r="H30" s="274" t="s">
        <v>34</v>
      </c>
      <c r="I30" s="114">
        <f t="shared" si="4"/>
        <v>17774070.719999999</v>
      </c>
      <c r="J30" s="114"/>
      <c r="K30" s="196">
        <f t="shared" si="5"/>
        <v>-17774070.719999999</v>
      </c>
      <c r="L30" s="222">
        <v>2010101000</v>
      </c>
      <c r="M30" s="114" t="s">
        <v>25</v>
      </c>
      <c r="N30" s="114"/>
      <c r="O30" s="114">
        <f t="shared" ref="O30:O37" si="6">I30</f>
        <v>17774070.719999999</v>
      </c>
      <c r="P30" s="114"/>
      <c r="Q30" s="114">
        <f>O30</f>
        <v>17774070.719999999</v>
      </c>
      <c r="R30" s="114"/>
      <c r="S30" s="114"/>
      <c r="T30" s="145"/>
      <c r="U30" s="145"/>
      <c r="V30" s="145"/>
    </row>
    <row r="31" spans="1:22" x14ac:dyDescent="0.25">
      <c r="A31" s="111"/>
      <c r="B31" s="273">
        <v>5020501000</v>
      </c>
      <c r="C31" s="274" t="s">
        <v>193</v>
      </c>
      <c r="D31" s="275">
        <f>IFERROR(VLOOKUP(B31,'WORKING PAPER FC1'!$I$19:$J$31,2,FALSE),0)</f>
        <v>0</v>
      </c>
      <c r="E31" s="274"/>
      <c r="F31" s="275">
        <f>IFERROR(VLOOKUP(B31,'WORKING PAPER FC1'!$I$11:$J$12,2,FALSE),0)</f>
        <v>0</v>
      </c>
      <c r="G31" s="114">
        <v>-61395</v>
      </c>
      <c r="H31" s="274" t="s">
        <v>193</v>
      </c>
      <c r="I31" s="114">
        <f t="shared" si="4"/>
        <v>61395</v>
      </c>
      <c r="J31" s="114"/>
      <c r="K31" s="196">
        <f>G31</f>
        <v>-61395</v>
      </c>
      <c r="L31" s="222">
        <v>2010101000</v>
      </c>
      <c r="M31" s="114" t="s">
        <v>25</v>
      </c>
      <c r="N31" s="114"/>
      <c r="O31" s="114">
        <f t="shared" si="6"/>
        <v>61395</v>
      </c>
      <c r="P31" s="114">
        <f>O31*-1</f>
        <v>-61395</v>
      </c>
      <c r="Q31" s="114"/>
      <c r="R31" s="114"/>
      <c r="S31" s="114"/>
      <c r="T31" s="145"/>
      <c r="U31" s="145"/>
      <c r="V31" s="145"/>
    </row>
    <row r="32" spans="1:22" ht="31.5" hidden="1" x14ac:dyDescent="0.25">
      <c r="A32" s="111"/>
      <c r="B32" s="273">
        <v>5020399000</v>
      </c>
      <c r="C32" s="274" t="s">
        <v>33</v>
      </c>
      <c r="D32" s="275"/>
      <c r="E32" s="274"/>
      <c r="F32" s="275">
        <f>IFERROR(VLOOKUP(B32,'WORKING PAPER FC1'!$I$11:$J$12,2,FALSE),0)</f>
        <v>0</v>
      </c>
      <c r="G32" s="114"/>
      <c r="H32" s="274" t="s">
        <v>33</v>
      </c>
      <c r="I32" s="114">
        <f t="shared" si="4"/>
        <v>0</v>
      </c>
      <c r="J32" s="114"/>
      <c r="K32" s="196">
        <f>G32</f>
        <v>0</v>
      </c>
      <c r="L32" s="222">
        <v>1010102000</v>
      </c>
      <c r="M32" s="114" t="s">
        <v>64</v>
      </c>
      <c r="N32" s="114"/>
      <c r="O32" s="114">
        <f t="shared" si="6"/>
        <v>0</v>
      </c>
      <c r="P32" s="114">
        <f>O32*-1</f>
        <v>0</v>
      </c>
      <c r="Q32" s="114"/>
      <c r="R32" s="114"/>
      <c r="S32" s="114"/>
      <c r="T32" s="145"/>
      <c r="U32" s="145"/>
      <c r="V32" s="145"/>
    </row>
    <row r="33" spans="1:22" x14ac:dyDescent="0.25">
      <c r="A33" s="111"/>
      <c r="B33" s="273">
        <v>5020301002</v>
      </c>
      <c r="C33" s="274" t="s">
        <v>30</v>
      </c>
      <c r="D33" s="275">
        <f>IFERROR(VLOOKUP(B33,'WORKING PAPER FC1'!$I$19:$J$31,2,FALSE),0)</f>
        <v>0</v>
      </c>
      <c r="E33" s="274"/>
      <c r="F33" s="275">
        <f>IFERROR(VLOOKUP(B33,'WORKING PAPER FC1'!$I$11:$J$12,2,FALSE),0)</f>
        <v>0</v>
      </c>
      <c r="G33" s="114">
        <f>-82672.34-2417441.01</f>
        <v>-2500113.3499999996</v>
      </c>
      <c r="H33" s="274" t="s">
        <v>30</v>
      </c>
      <c r="I33" s="114">
        <f t="shared" si="4"/>
        <v>2500113.3499999996</v>
      </c>
      <c r="J33" s="114"/>
      <c r="K33" s="196">
        <f>-I33-J33</f>
        <v>-2500113.3499999996</v>
      </c>
      <c r="L33" s="222">
        <v>2010101000</v>
      </c>
      <c r="M33" s="114" t="s">
        <v>25</v>
      </c>
      <c r="N33" s="114">
        <f>J33</f>
        <v>0</v>
      </c>
      <c r="O33" s="114">
        <f>I33</f>
        <v>2500113.3499999996</v>
      </c>
      <c r="P33" s="114"/>
      <c r="Q33" s="114">
        <f>N33+O33</f>
        <v>2500113.3499999996</v>
      </c>
      <c r="R33" s="114"/>
      <c r="S33" s="114"/>
      <c r="T33" s="145"/>
      <c r="U33" s="145"/>
      <c r="V33" s="145"/>
    </row>
    <row r="34" spans="1:22" x14ac:dyDescent="0.25">
      <c r="A34" s="111"/>
      <c r="B34" s="273">
        <v>5020301002</v>
      </c>
      <c r="C34" s="274" t="s">
        <v>30</v>
      </c>
      <c r="D34" s="275"/>
      <c r="E34" s="274"/>
      <c r="F34" s="275"/>
      <c r="G34" s="114">
        <f>-5989394.29+'WORKING PAPER FC1'!AV10+2417441.01</f>
        <v>-7050577.1300000008</v>
      </c>
      <c r="H34" s="274" t="s">
        <v>30</v>
      </c>
      <c r="I34" s="114">
        <f t="shared" si="4"/>
        <v>7050577.1300000008</v>
      </c>
      <c r="J34" s="114"/>
      <c r="K34" s="196">
        <f>-I34-J34</f>
        <v>-7050577.1300000008</v>
      </c>
      <c r="L34" s="222">
        <v>1040401000</v>
      </c>
      <c r="M34" s="114" t="s">
        <v>269</v>
      </c>
      <c r="N34" s="114"/>
      <c r="O34" s="114">
        <f>I34</f>
        <v>7050577.1300000008</v>
      </c>
      <c r="P34" s="114">
        <f>O34*-1</f>
        <v>-7050577.1300000008</v>
      </c>
      <c r="Q34" s="114"/>
      <c r="R34" s="114"/>
      <c r="S34" s="114"/>
      <c r="T34" s="145"/>
      <c r="U34" s="145"/>
      <c r="V34" s="145"/>
    </row>
    <row r="35" spans="1:22" ht="31.5" x14ac:dyDescent="0.25">
      <c r="A35" s="111"/>
      <c r="B35" s="273">
        <v>5020399000</v>
      </c>
      <c r="C35" s="274" t="s">
        <v>249</v>
      </c>
      <c r="D35" s="275">
        <f>IFERROR(VLOOKUP(B35,'WORKING PAPER FC1'!$I$19:$J$31,2,FALSE),0)</f>
        <v>0</v>
      </c>
      <c r="E35" s="274"/>
      <c r="F35" s="275">
        <f>IFERROR(VLOOKUP(B35,'WORKING PAPER FC1'!$I$11:$J$12,2,FALSE),0)</f>
        <v>0</v>
      </c>
      <c r="G35" s="114">
        <v>-490871356.08999991</v>
      </c>
      <c r="H35" s="274" t="s">
        <v>249</v>
      </c>
      <c r="I35" s="114">
        <f t="shared" si="4"/>
        <v>490871356.08999991</v>
      </c>
      <c r="J35" s="114"/>
      <c r="K35" s="196">
        <f>-I35-J35</f>
        <v>-490871356.08999991</v>
      </c>
      <c r="L35" s="222">
        <v>1040299000</v>
      </c>
      <c r="M35" s="114" t="s">
        <v>35</v>
      </c>
      <c r="N35" s="114">
        <f>J35</f>
        <v>0</v>
      </c>
      <c r="O35" s="114">
        <f>I35</f>
        <v>490871356.08999991</v>
      </c>
      <c r="P35" s="114">
        <f>(N35+O35)*-1</f>
        <v>-490871356.08999991</v>
      </c>
      <c r="Q35" s="114"/>
      <c r="R35" s="114"/>
      <c r="S35" s="114"/>
      <c r="T35" s="145"/>
      <c r="U35" s="380"/>
      <c r="V35" s="282"/>
    </row>
    <row r="36" spans="1:22" x14ac:dyDescent="0.25">
      <c r="A36" s="111"/>
      <c r="B36" s="273">
        <v>5020306000</v>
      </c>
      <c r="C36" s="274" t="s">
        <v>209</v>
      </c>
      <c r="D36" s="275">
        <f>IFERROR(VLOOKUP(B36,'WORKING PAPER FC1'!$I$19:$J$31,2,FALSE),0)</f>
        <v>0</v>
      </c>
      <c r="E36" s="274"/>
      <c r="F36" s="275">
        <f>IFERROR(VLOOKUP(B36,'WORKING PAPER FC1'!$I$11:$J$12,2,FALSE),0)</f>
        <v>0</v>
      </c>
      <c r="G36" s="114">
        <f>-268816271.59+'WORKING PAPER FC1'!AV7+'WORKING PAPER FC1'!AZ19+'WORKING PAPER FC1'!BD12+'WORKING PAPER FC1'!BP20</f>
        <v>-274599996.58999997</v>
      </c>
      <c r="H36" s="274" t="s">
        <v>209</v>
      </c>
      <c r="I36" s="114">
        <f t="shared" si="4"/>
        <v>274599996.58999997</v>
      </c>
      <c r="J36" s="114"/>
      <c r="K36" s="196">
        <f>I36*-1</f>
        <v>-274599996.58999997</v>
      </c>
      <c r="L36" s="222">
        <v>1040202000</v>
      </c>
      <c r="M36" s="114" t="s">
        <v>36</v>
      </c>
      <c r="N36" s="114"/>
      <c r="O36" s="114">
        <f>G36*-1</f>
        <v>274599996.58999997</v>
      </c>
      <c r="P36" s="114">
        <f>(N36+O36)*-1</f>
        <v>-274599996.58999997</v>
      </c>
      <c r="Q36" s="114"/>
      <c r="R36" s="114"/>
      <c r="S36" s="114"/>
      <c r="T36" s="145"/>
      <c r="U36" s="145"/>
      <c r="V36" s="145"/>
    </row>
    <row r="37" spans="1:22" hidden="1" x14ac:dyDescent="0.25">
      <c r="A37" s="111"/>
      <c r="B37" s="273">
        <v>5021499000</v>
      </c>
      <c r="C37" s="274" t="s">
        <v>34</v>
      </c>
      <c r="D37" s="275">
        <f>IFERROR(VLOOKUP(B37,'WORKING PAPER FC1'!$I$19:$J$31,2,FALSE),0)</f>
        <v>0</v>
      </c>
      <c r="E37" s="274"/>
      <c r="F37" s="275">
        <f>IFERROR(VLOOKUP(B37,'WORKING PAPER FC1'!$I$11:$J$12,2,FALSE),0)</f>
        <v>0</v>
      </c>
      <c r="G37" s="114"/>
      <c r="H37" s="274" t="s">
        <v>34</v>
      </c>
      <c r="I37" s="114">
        <f t="shared" ref="I37:I79" si="7">G37*-1-J37</f>
        <v>0</v>
      </c>
      <c r="J37" s="114"/>
      <c r="K37" s="196">
        <f t="shared" si="5"/>
        <v>0</v>
      </c>
      <c r="L37" s="222">
        <v>2010101000</v>
      </c>
      <c r="M37" s="114" t="s">
        <v>25</v>
      </c>
      <c r="N37" s="114"/>
      <c r="O37" s="114">
        <f t="shared" si="6"/>
        <v>0</v>
      </c>
      <c r="P37" s="114"/>
      <c r="Q37" s="114">
        <f t="shared" ref="Q37:Q43" si="8">O37</f>
        <v>0</v>
      </c>
      <c r="R37" s="114"/>
      <c r="S37" s="114"/>
      <c r="T37" s="145"/>
      <c r="U37" s="145"/>
      <c r="V37" s="145"/>
    </row>
    <row r="38" spans="1:22" x14ac:dyDescent="0.25">
      <c r="A38" s="111"/>
      <c r="B38" s="273">
        <v>5021503000</v>
      </c>
      <c r="C38" s="274" t="s">
        <v>40</v>
      </c>
      <c r="D38" s="275">
        <f>IFERROR(VLOOKUP(B38,'WORKING PAPER FC1'!$I$19:$J$31,2,FALSE),0)</f>
        <v>0</v>
      </c>
      <c r="E38" s="274"/>
      <c r="F38" s="275">
        <f>IFERROR(VLOOKUP(B38,'WORKING PAPER FC1'!$I$11:$J$12,2,FALSE),0)</f>
        <v>0</v>
      </c>
      <c r="G38" s="114">
        <v>-390088.68916663527</v>
      </c>
      <c r="H38" s="274" t="s">
        <v>40</v>
      </c>
      <c r="I38" s="114">
        <f t="shared" si="7"/>
        <v>390088.68916663527</v>
      </c>
      <c r="J38" s="114"/>
      <c r="K38" s="196">
        <f t="shared" ref="K38:K53" si="9">G38</f>
        <v>-390088.68916663527</v>
      </c>
      <c r="L38" s="222">
        <v>1990205000</v>
      </c>
      <c r="M38" s="114" t="s">
        <v>356</v>
      </c>
      <c r="N38" s="114"/>
      <c r="O38" s="114">
        <f t="shared" ref="O38:O43" si="10">I38</f>
        <v>390088.68916663527</v>
      </c>
      <c r="P38" s="114">
        <f>(N38+O38)*-1</f>
        <v>-390088.68916663527</v>
      </c>
      <c r="Q38" s="114"/>
      <c r="R38" s="114"/>
      <c r="S38" s="114"/>
      <c r="T38" s="145"/>
      <c r="U38" s="145"/>
      <c r="V38" s="145"/>
    </row>
    <row r="39" spans="1:22" x14ac:dyDescent="0.25">
      <c r="A39" s="111"/>
      <c r="B39" s="273">
        <v>5020402000</v>
      </c>
      <c r="C39" s="274" t="s">
        <v>39</v>
      </c>
      <c r="D39" s="275">
        <f>IFERROR(VLOOKUP(B39,'WORKING PAPER FC1'!$I$19:$J$31,2,FALSE),0)</f>
        <v>0</v>
      </c>
      <c r="E39" s="274"/>
      <c r="F39" s="275">
        <f>IFERROR(VLOOKUP(B39,'WORKING PAPER FC1'!$I$11:$J$12,2,FALSE),0)</f>
        <v>0</v>
      </c>
      <c r="G39" s="114">
        <v>-55368.6</v>
      </c>
      <c r="H39" s="110" t="s">
        <v>39</v>
      </c>
      <c r="I39" s="114">
        <f t="shared" si="7"/>
        <v>55368.6</v>
      </c>
      <c r="J39" s="114"/>
      <c r="K39" s="196">
        <f t="shared" si="9"/>
        <v>-55368.6</v>
      </c>
      <c r="L39" s="222">
        <v>2010101000</v>
      </c>
      <c r="M39" s="114" t="s">
        <v>25</v>
      </c>
      <c r="N39" s="114"/>
      <c r="O39" s="114">
        <f t="shared" si="10"/>
        <v>55368.6</v>
      </c>
      <c r="P39" s="114"/>
      <c r="Q39" s="114">
        <f t="shared" si="8"/>
        <v>55368.6</v>
      </c>
      <c r="R39" s="114"/>
      <c r="S39" s="114"/>
      <c r="T39" s="145"/>
      <c r="U39" s="145"/>
      <c r="V39" s="145"/>
    </row>
    <row r="40" spans="1:22" ht="15" hidden="1" customHeight="1" x14ac:dyDescent="0.25">
      <c r="A40" s="111"/>
      <c r="B40" s="273">
        <v>5020602000</v>
      </c>
      <c r="C40" s="274" t="s">
        <v>204</v>
      </c>
      <c r="D40" s="275">
        <f>IFERROR(VLOOKUP(B40,'WORKING PAPER FC1'!$I$19:$J$31,2,FALSE),0)</f>
        <v>0</v>
      </c>
      <c r="E40" s="274"/>
      <c r="F40" s="275">
        <f>IFERROR(VLOOKUP(B40,'WORKING PAPER FC1'!$I$11:$J$12,2,FALSE),0)</f>
        <v>0</v>
      </c>
      <c r="G40" s="114"/>
      <c r="H40" s="274" t="s">
        <v>204</v>
      </c>
      <c r="I40" s="114">
        <f t="shared" si="7"/>
        <v>0</v>
      </c>
      <c r="J40" s="114"/>
      <c r="K40" s="196">
        <f t="shared" si="9"/>
        <v>0</v>
      </c>
      <c r="L40" s="222">
        <v>2010101000</v>
      </c>
      <c r="M40" s="114" t="s">
        <v>25</v>
      </c>
      <c r="N40" s="114"/>
      <c r="O40" s="114">
        <f t="shared" si="10"/>
        <v>0</v>
      </c>
      <c r="P40" s="114"/>
      <c r="Q40" s="114">
        <f t="shared" si="8"/>
        <v>0</v>
      </c>
      <c r="R40" s="114"/>
      <c r="S40" s="114"/>
      <c r="T40" s="145"/>
      <c r="U40" s="145"/>
      <c r="V40" s="145"/>
    </row>
    <row r="41" spans="1:22" x14ac:dyDescent="0.25">
      <c r="A41" s="111"/>
      <c r="B41" s="273">
        <v>5029903000</v>
      </c>
      <c r="C41" s="274" t="s">
        <v>42</v>
      </c>
      <c r="D41" s="275">
        <f>IFERROR(VLOOKUP(B41,'WORKING PAPER FC1'!$I$19:$J$31,2,FALSE),0)</f>
        <v>0</v>
      </c>
      <c r="E41" s="276">
        <f>'WORKING PAPER FC1'!J14</f>
        <v>0</v>
      </c>
      <c r="F41" s="275">
        <f>IFERROR(VLOOKUP(B41,'WORKING PAPER FC1'!$I$11:$J$12,2,FALSE),0)</f>
        <v>0</v>
      </c>
      <c r="G41" s="114">
        <v>-1036685</v>
      </c>
      <c r="H41" s="110" t="s">
        <v>42</v>
      </c>
      <c r="I41" s="114">
        <f t="shared" si="7"/>
        <v>1036685</v>
      </c>
      <c r="J41" s="114"/>
      <c r="K41" s="196">
        <f t="shared" si="9"/>
        <v>-1036685</v>
      </c>
      <c r="L41" s="222">
        <v>2010101000</v>
      </c>
      <c r="M41" s="114" t="s">
        <v>25</v>
      </c>
      <c r="N41" s="114"/>
      <c r="O41" s="114">
        <f t="shared" si="10"/>
        <v>1036685</v>
      </c>
      <c r="P41" s="114"/>
      <c r="Q41" s="114">
        <f t="shared" si="8"/>
        <v>1036685</v>
      </c>
      <c r="R41" s="114"/>
      <c r="S41" s="114"/>
      <c r="T41" s="145"/>
      <c r="U41" s="145"/>
      <c r="V41" s="145"/>
    </row>
    <row r="42" spans="1:22" x14ac:dyDescent="0.25">
      <c r="A42" s="111"/>
      <c r="B42" s="273">
        <v>5020401000</v>
      </c>
      <c r="C42" s="274" t="s">
        <v>38</v>
      </c>
      <c r="D42" s="275">
        <f>IFERROR(VLOOKUP(B42,'WORKING PAPER FC1'!$I$19:$J$31,2,FALSE),0)</f>
        <v>0</v>
      </c>
      <c r="E42" s="274"/>
      <c r="F42" s="275">
        <f>IFERROR(VLOOKUP(B42,'WORKING PAPER FC1'!$I$11:$J$12,2,FALSE),0)</f>
        <v>0</v>
      </c>
      <c r="G42" s="114">
        <v>-17400</v>
      </c>
      <c r="H42" s="274" t="s">
        <v>38</v>
      </c>
      <c r="I42" s="114">
        <f t="shared" si="7"/>
        <v>17400</v>
      </c>
      <c r="J42" s="114"/>
      <c r="K42" s="196">
        <f t="shared" si="9"/>
        <v>-17400</v>
      </c>
      <c r="L42" s="222">
        <v>2010101000</v>
      </c>
      <c r="M42" s="114" t="s">
        <v>25</v>
      </c>
      <c r="N42" s="114"/>
      <c r="O42" s="114">
        <f t="shared" si="10"/>
        <v>17400</v>
      </c>
      <c r="P42" s="114"/>
      <c r="Q42" s="114">
        <f t="shared" si="8"/>
        <v>17400</v>
      </c>
      <c r="R42" s="114"/>
      <c r="S42" s="114"/>
      <c r="T42" s="145"/>
      <c r="U42" s="145"/>
      <c r="V42" s="145"/>
    </row>
    <row r="43" spans="1:22" hidden="1" x14ac:dyDescent="0.25">
      <c r="A43" s="111"/>
      <c r="B43" s="273">
        <v>5020301001</v>
      </c>
      <c r="C43" s="274" t="s">
        <v>192</v>
      </c>
      <c r="D43" s="275">
        <f>IFERROR(VLOOKUP(B43,'WORKING PAPER FC1'!$I$19:$J$31,2,FALSE),0)</f>
        <v>0</v>
      </c>
      <c r="E43" s="274"/>
      <c r="F43" s="275">
        <f>IFERROR(VLOOKUP(B43,'WORKING PAPER FC1'!$I$11:$J$12,2,FALSE),0)</f>
        <v>0</v>
      </c>
      <c r="G43" s="114"/>
      <c r="H43" s="274" t="s">
        <v>192</v>
      </c>
      <c r="I43" s="114">
        <f t="shared" si="7"/>
        <v>0</v>
      </c>
      <c r="J43" s="114"/>
      <c r="K43" s="196">
        <f t="shared" si="9"/>
        <v>0</v>
      </c>
      <c r="L43" s="222">
        <v>2010101000</v>
      </c>
      <c r="M43" s="114" t="s">
        <v>25</v>
      </c>
      <c r="N43" s="114"/>
      <c r="O43" s="114">
        <f t="shared" si="10"/>
        <v>0</v>
      </c>
      <c r="P43" s="114"/>
      <c r="Q43" s="114">
        <f t="shared" si="8"/>
        <v>0</v>
      </c>
      <c r="R43" s="114"/>
      <c r="S43" s="114"/>
      <c r="T43" s="145"/>
      <c r="U43" s="145"/>
      <c r="V43" s="145"/>
    </row>
    <row r="44" spans="1:22" ht="31.5" x14ac:dyDescent="0.25">
      <c r="A44" s="111"/>
      <c r="B44" s="273">
        <v>5020307000</v>
      </c>
      <c r="C44" s="274" t="s">
        <v>43</v>
      </c>
      <c r="D44" s="275">
        <f>IFERROR(VLOOKUP(B44,'WORKING PAPER FC1'!$I$19:$J$31,2,FALSE),0)</f>
        <v>0</v>
      </c>
      <c r="E44" s="274"/>
      <c r="F44" s="275"/>
      <c r="G44" s="114">
        <v>-279931.05</v>
      </c>
      <c r="H44" s="274" t="s">
        <v>43</v>
      </c>
      <c r="I44" s="114">
        <f t="shared" si="7"/>
        <v>279931.05</v>
      </c>
      <c r="J44" s="114"/>
      <c r="K44" s="196">
        <f t="shared" si="9"/>
        <v>-279931.05</v>
      </c>
      <c r="L44" s="222">
        <v>1040406000</v>
      </c>
      <c r="M44" s="114" t="s">
        <v>268</v>
      </c>
      <c r="N44" s="114"/>
      <c r="O44" s="114">
        <f t="shared" ref="O44:O79" si="11">I44</f>
        <v>279931.05</v>
      </c>
      <c r="P44" s="114">
        <f>-O44</f>
        <v>-279931.05</v>
      </c>
      <c r="Q44" s="114"/>
      <c r="R44" s="114"/>
      <c r="S44" s="114"/>
      <c r="T44" s="145"/>
      <c r="U44" s="145"/>
      <c r="V44" s="145"/>
    </row>
    <row r="45" spans="1:22" hidden="1" x14ac:dyDescent="0.25">
      <c r="A45" s="111"/>
      <c r="B45" s="273">
        <v>5020305000</v>
      </c>
      <c r="C45" s="274" t="s">
        <v>31</v>
      </c>
      <c r="D45" s="275"/>
      <c r="E45" s="274"/>
      <c r="F45" s="275">
        <f>IFERROR(VLOOKUP(B45,'WORKING PAPER FC1'!$I$11:$J$12,2,FALSE),0)</f>
        <v>0</v>
      </c>
      <c r="G45" s="114"/>
      <c r="H45" s="274" t="s">
        <v>31</v>
      </c>
      <c r="I45" s="114">
        <f t="shared" si="7"/>
        <v>0</v>
      </c>
      <c r="J45" s="114"/>
      <c r="K45" s="196">
        <f t="shared" si="9"/>
        <v>0</v>
      </c>
      <c r="L45" s="222">
        <v>1010102000</v>
      </c>
      <c r="M45" s="114" t="s">
        <v>64</v>
      </c>
      <c r="N45" s="114"/>
      <c r="O45" s="114">
        <f t="shared" si="11"/>
        <v>0</v>
      </c>
      <c r="P45" s="114">
        <f>-O45</f>
        <v>0</v>
      </c>
      <c r="Q45" s="114"/>
      <c r="R45" s="114"/>
      <c r="S45" s="114"/>
      <c r="T45" s="145"/>
      <c r="U45" s="145"/>
      <c r="V45" s="145"/>
    </row>
    <row r="46" spans="1:22" ht="27.75" customHeight="1" x14ac:dyDescent="0.25">
      <c r="A46" s="111"/>
      <c r="B46" s="273">
        <v>5020305000</v>
      </c>
      <c r="C46" s="274" t="s">
        <v>31</v>
      </c>
      <c r="D46" s="275"/>
      <c r="E46" s="274"/>
      <c r="F46" s="275"/>
      <c r="G46" s="114">
        <v>-2513747.46</v>
      </c>
      <c r="H46" s="274" t="s">
        <v>31</v>
      </c>
      <c r="I46" s="114">
        <f>-G46</f>
        <v>2513747.46</v>
      </c>
      <c r="J46" s="114"/>
      <c r="K46" s="196">
        <f>G46</f>
        <v>-2513747.46</v>
      </c>
      <c r="L46" s="222">
        <v>1040405000</v>
      </c>
      <c r="M46" s="114" t="s">
        <v>32</v>
      </c>
      <c r="N46" s="114"/>
      <c r="O46" s="114">
        <f>-K46</f>
        <v>2513747.46</v>
      </c>
      <c r="P46" s="114">
        <f>-O46</f>
        <v>-2513747.46</v>
      </c>
      <c r="Q46" s="114"/>
      <c r="R46" s="114"/>
      <c r="S46" s="114"/>
      <c r="T46" s="145"/>
      <c r="U46" s="145"/>
      <c r="V46" s="145"/>
    </row>
    <row r="47" spans="1:22" ht="27" customHeight="1" x14ac:dyDescent="0.25">
      <c r="A47" s="111"/>
      <c r="B47" s="273">
        <v>5020399000</v>
      </c>
      <c r="C47" s="274" t="s">
        <v>249</v>
      </c>
      <c r="D47" s="377"/>
      <c r="E47" s="376"/>
      <c r="F47" s="377"/>
      <c r="G47" s="114">
        <v>-2005580.03</v>
      </c>
      <c r="H47" s="274" t="s">
        <v>249</v>
      </c>
      <c r="I47" s="114">
        <f>-G47</f>
        <v>2005580.03</v>
      </c>
      <c r="J47" s="114"/>
      <c r="K47" s="196">
        <f>G47</f>
        <v>-2005580.03</v>
      </c>
      <c r="L47" s="222">
        <v>1040499000</v>
      </c>
      <c r="M47" s="114" t="s">
        <v>348</v>
      </c>
      <c r="N47" s="114"/>
      <c r="O47" s="114">
        <f>-K47</f>
        <v>2005580.03</v>
      </c>
      <c r="P47" s="114">
        <f>-O47</f>
        <v>-2005580.03</v>
      </c>
      <c r="Q47" s="114"/>
      <c r="R47" s="114"/>
      <c r="S47" s="114"/>
      <c r="T47" s="145"/>
      <c r="U47" s="145"/>
      <c r="V47" s="145"/>
    </row>
    <row r="48" spans="1:22" ht="31.5" hidden="1" x14ac:dyDescent="0.25">
      <c r="A48" s="111"/>
      <c r="B48" s="273">
        <v>5020307000</v>
      </c>
      <c r="C48" s="274" t="s">
        <v>43</v>
      </c>
      <c r="D48" s="275"/>
      <c r="E48" s="274"/>
      <c r="F48" s="275">
        <f>IFERROR(VLOOKUP(B48,'WORKING PAPER FC1'!$I$11:$J$12,2,FALSE),0)</f>
        <v>0</v>
      </c>
      <c r="G48" s="114"/>
      <c r="H48" s="274" t="s">
        <v>43</v>
      </c>
      <c r="I48" s="114">
        <f t="shared" si="7"/>
        <v>0</v>
      </c>
      <c r="J48" s="114"/>
      <c r="K48" s="196">
        <f t="shared" si="9"/>
        <v>0</v>
      </c>
      <c r="L48" s="222">
        <v>1010102000</v>
      </c>
      <c r="M48" s="114" t="s">
        <v>64</v>
      </c>
      <c r="N48" s="114"/>
      <c r="O48" s="114">
        <f t="shared" si="11"/>
        <v>0</v>
      </c>
      <c r="P48" s="114">
        <f>O48*-1</f>
        <v>0</v>
      </c>
      <c r="Q48" s="114"/>
      <c r="R48" s="114"/>
      <c r="S48" s="114"/>
      <c r="T48" s="145"/>
      <c r="U48" s="145"/>
      <c r="V48" s="145"/>
    </row>
    <row r="49" spans="1:22" ht="29.25" customHeight="1" x14ac:dyDescent="0.25">
      <c r="A49" s="111"/>
      <c r="B49" s="273">
        <v>5021199000</v>
      </c>
      <c r="C49" s="274" t="s">
        <v>47</v>
      </c>
      <c r="D49" s="275">
        <f>IFERROR(VLOOKUP(B49,'WORKING PAPER FC1'!$I$19:$J$31,2,FALSE),0)</f>
        <v>0</v>
      </c>
      <c r="E49" s="274"/>
      <c r="F49" s="275">
        <f>IFERROR(VLOOKUP(B49,'WORKING PAPER FC1'!$I$11:$J$12,2,FALSE),0)</f>
        <v>0</v>
      </c>
      <c r="G49" s="114">
        <f>-116534.12+'WORKING PAPER FC1'!BD3</f>
        <v>-130848.01</v>
      </c>
      <c r="H49" s="274" t="s">
        <v>47</v>
      </c>
      <c r="I49" s="114">
        <f t="shared" si="7"/>
        <v>130848.01</v>
      </c>
      <c r="J49" s="114"/>
      <c r="K49" s="196">
        <f>G49</f>
        <v>-130848.01</v>
      </c>
      <c r="L49" s="222">
        <v>1010102000</v>
      </c>
      <c r="M49" s="114" t="s">
        <v>64</v>
      </c>
      <c r="N49" s="114"/>
      <c r="O49" s="114">
        <f t="shared" si="11"/>
        <v>130848.01</v>
      </c>
      <c r="P49" s="114">
        <f>O49*-1</f>
        <v>-130848.01</v>
      </c>
      <c r="Q49" s="114"/>
      <c r="R49" s="114"/>
      <c r="S49" s="114"/>
      <c r="T49" s="145"/>
      <c r="U49" s="145"/>
      <c r="V49" s="145"/>
    </row>
    <row r="50" spans="1:22" ht="47.25" hidden="1" x14ac:dyDescent="0.25">
      <c r="A50" s="111"/>
      <c r="B50" s="273">
        <v>5021306001</v>
      </c>
      <c r="C50" s="274" t="s">
        <v>49</v>
      </c>
      <c r="D50" s="275">
        <f>IFERROR(VLOOKUP(B50,'WORKING PAPER FC1'!$I$19:$J$31,2,FALSE),0)</f>
        <v>0</v>
      </c>
      <c r="E50" s="274"/>
      <c r="F50" s="275">
        <f>IFERROR(VLOOKUP(B50,'WORKING PAPER FC1'!$I$11:$J$12,2,FALSE),0)</f>
        <v>0</v>
      </c>
      <c r="G50" s="114"/>
      <c r="H50" s="274" t="s">
        <v>49</v>
      </c>
      <c r="I50" s="114">
        <f t="shared" si="7"/>
        <v>0</v>
      </c>
      <c r="J50" s="114"/>
      <c r="K50" s="196">
        <f t="shared" si="9"/>
        <v>0</v>
      </c>
      <c r="L50" s="222">
        <v>1010102000</v>
      </c>
      <c r="M50" s="114" t="s">
        <v>64</v>
      </c>
      <c r="N50" s="114"/>
      <c r="O50" s="114">
        <f t="shared" si="11"/>
        <v>0</v>
      </c>
      <c r="P50" s="114">
        <f>O50*-1</f>
        <v>0</v>
      </c>
      <c r="Q50" s="114"/>
      <c r="R50" s="114"/>
      <c r="S50" s="114"/>
      <c r="T50" s="145"/>
      <c r="U50" s="145"/>
      <c r="V50" s="145"/>
    </row>
    <row r="51" spans="1:22" ht="47.25" x14ac:dyDescent="0.25">
      <c r="A51" s="111"/>
      <c r="B51" s="273">
        <v>5021305003</v>
      </c>
      <c r="C51" s="274" t="s">
        <v>353</v>
      </c>
      <c r="D51" s="275"/>
      <c r="E51" s="274"/>
      <c r="F51" s="275"/>
      <c r="G51" s="114">
        <v>-194646</v>
      </c>
      <c r="H51" s="274" t="s">
        <v>353</v>
      </c>
      <c r="I51" s="114">
        <f t="shared" si="7"/>
        <v>194646</v>
      </c>
      <c r="J51" s="114"/>
      <c r="K51" s="196">
        <f t="shared" si="9"/>
        <v>-194646</v>
      </c>
      <c r="L51" s="222">
        <v>2010101000</v>
      </c>
      <c r="M51" s="114" t="s">
        <v>25</v>
      </c>
      <c r="N51" s="114"/>
      <c r="O51" s="114">
        <f t="shared" si="11"/>
        <v>194646</v>
      </c>
      <c r="P51" s="114">
        <f>O51*-1</f>
        <v>-194646</v>
      </c>
      <c r="Q51" s="114"/>
      <c r="R51" s="114"/>
      <c r="S51" s="114"/>
      <c r="T51" s="145"/>
      <c r="U51" s="145"/>
      <c r="V51" s="145"/>
    </row>
    <row r="52" spans="1:22" ht="31.5" x14ac:dyDescent="0.25">
      <c r="A52" s="111"/>
      <c r="B52" s="273">
        <v>5029999099</v>
      </c>
      <c r="C52" s="274" t="s">
        <v>51</v>
      </c>
      <c r="D52" s="275">
        <f>IFERROR(VLOOKUP(B52,'WORKING PAPER FC1'!$I$19:$J$31,2,FALSE),0)</f>
        <v>0</v>
      </c>
      <c r="E52" s="274"/>
      <c r="F52" s="275">
        <f>IFERROR(VLOOKUP(B52,'WORKING PAPER FC1'!$I$11:$J$12,2,FALSE),0)</f>
        <v>0</v>
      </c>
      <c r="G52" s="114">
        <v>-282998</v>
      </c>
      <c r="H52" s="274" t="s">
        <v>51</v>
      </c>
      <c r="I52" s="114">
        <f t="shared" si="7"/>
        <v>282998</v>
      </c>
      <c r="J52" s="114"/>
      <c r="K52" s="196">
        <f t="shared" si="9"/>
        <v>-282998</v>
      </c>
      <c r="L52" s="222">
        <v>1010102000</v>
      </c>
      <c r="M52" s="114" t="s">
        <v>64</v>
      </c>
      <c r="N52" s="114"/>
      <c r="O52" s="114">
        <f t="shared" si="11"/>
        <v>282998</v>
      </c>
      <c r="P52" s="114">
        <f>O52*-1</f>
        <v>-282998</v>
      </c>
      <c r="Q52" s="114"/>
      <c r="R52" s="114"/>
      <c r="S52" s="114"/>
      <c r="T52" s="145"/>
      <c r="U52" s="145"/>
      <c r="V52" s="145"/>
    </row>
    <row r="53" spans="1:22" hidden="1" x14ac:dyDescent="0.25">
      <c r="A53" s="111"/>
      <c r="B53" s="273">
        <v>5020301001</v>
      </c>
      <c r="C53" s="274" t="s">
        <v>192</v>
      </c>
      <c r="D53" s="275">
        <f>IFERROR(VLOOKUP(B53,'WORKING PAPER FC1'!$I$19:$J$31,2,FALSE),0)</f>
        <v>0</v>
      </c>
      <c r="E53" s="274"/>
      <c r="F53" s="275">
        <f>IFERROR(VLOOKUP(B53,'WORKING PAPER FC1'!$I$11:$J$12,2,FALSE),0)</f>
        <v>0</v>
      </c>
      <c r="G53" s="114"/>
      <c r="H53" s="274" t="s">
        <v>192</v>
      </c>
      <c r="I53" s="114">
        <f t="shared" si="7"/>
        <v>0</v>
      </c>
      <c r="J53" s="114"/>
      <c r="K53" s="196">
        <f t="shared" si="9"/>
        <v>0</v>
      </c>
      <c r="L53" s="222">
        <v>1010102000</v>
      </c>
      <c r="M53" s="114" t="s">
        <v>64</v>
      </c>
      <c r="N53" s="114"/>
      <c r="O53" s="114">
        <f t="shared" si="11"/>
        <v>0</v>
      </c>
      <c r="P53" s="114">
        <f>-O53</f>
        <v>0</v>
      </c>
      <c r="Q53" s="114"/>
      <c r="R53" s="114"/>
      <c r="S53" s="114"/>
      <c r="T53" s="145"/>
      <c r="U53" s="145"/>
      <c r="V53" s="145"/>
    </row>
    <row r="54" spans="1:22" ht="47.25" x14ac:dyDescent="0.25">
      <c r="A54" s="111"/>
      <c r="B54" s="273">
        <v>5020321002</v>
      </c>
      <c r="C54" s="274" t="s">
        <v>203</v>
      </c>
      <c r="D54" s="275">
        <f>IFERROR(VLOOKUP(B54,'WORKING PAPER FC1'!$I$19:$J$31,2,FALSE),0)</f>
        <v>0</v>
      </c>
      <c r="E54" s="274"/>
      <c r="F54" s="275">
        <f>IFERROR(VLOOKUP(B54,'WORKING PAPER FC1'!$I$11:$J$12,2,FALSE),0)</f>
        <v>0</v>
      </c>
      <c r="G54" s="114">
        <v>-395837</v>
      </c>
      <c r="H54" s="274" t="s">
        <v>203</v>
      </c>
      <c r="I54" s="114">
        <f t="shared" si="7"/>
        <v>395837</v>
      </c>
      <c r="J54" s="114"/>
      <c r="K54" s="196">
        <f>G54</f>
        <v>-395837</v>
      </c>
      <c r="L54" s="222">
        <v>1040502000</v>
      </c>
      <c r="M54" s="114" t="s">
        <v>44</v>
      </c>
      <c r="N54" s="114"/>
      <c r="O54" s="114">
        <f t="shared" si="11"/>
        <v>395837</v>
      </c>
      <c r="P54" s="114">
        <f>-O54</f>
        <v>-395837</v>
      </c>
      <c r="Q54" s="114"/>
      <c r="R54" s="114"/>
      <c r="S54" s="114"/>
      <c r="T54" s="145"/>
      <c r="U54" s="145"/>
      <c r="V54" s="145"/>
    </row>
    <row r="55" spans="1:22" ht="47.25" hidden="1" x14ac:dyDescent="0.25">
      <c r="A55" s="111"/>
      <c r="B55" s="273">
        <v>5020321002</v>
      </c>
      <c r="C55" s="274" t="s">
        <v>203</v>
      </c>
      <c r="D55" s="275"/>
      <c r="E55" s="274"/>
      <c r="F55" s="275"/>
      <c r="G55" s="114"/>
      <c r="H55" s="274" t="s">
        <v>203</v>
      </c>
      <c r="I55" s="114">
        <f t="shared" si="7"/>
        <v>0</v>
      </c>
      <c r="J55" s="114"/>
      <c r="K55" s="196">
        <f>G55</f>
        <v>0</v>
      </c>
      <c r="L55" s="222">
        <v>2010101000</v>
      </c>
      <c r="M55" s="114" t="s">
        <v>25</v>
      </c>
      <c r="N55" s="114"/>
      <c r="O55" s="114">
        <f t="shared" si="11"/>
        <v>0</v>
      </c>
      <c r="P55" s="114">
        <f>-O55</f>
        <v>0</v>
      </c>
      <c r="Q55" s="114"/>
      <c r="R55" s="114"/>
      <c r="S55" s="114"/>
      <c r="T55" s="145"/>
      <c r="U55" s="145"/>
      <c r="V55" s="145"/>
    </row>
    <row r="56" spans="1:22" ht="15" customHeight="1" x14ac:dyDescent="0.25">
      <c r="A56" s="111"/>
      <c r="B56" s="273">
        <v>5021199000</v>
      </c>
      <c r="C56" s="274" t="s">
        <v>47</v>
      </c>
      <c r="D56" s="275">
        <f>IFERROR(VLOOKUP(B56,'WORKING PAPER FC1'!$I$19:$J$31,2,FALSE),0)</f>
        <v>0</v>
      </c>
      <c r="E56" s="274"/>
      <c r="F56" s="275">
        <f>IFERROR(VLOOKUP(B56,'WORKING PAPER FC1'!$I$11:$J$12,2,FALSE),0)</f>
        <v>0</v>
      </c>
      <c r="G56" s="114">
        <f>-17355.42+'WORKING PAPER FC1'!AV22</f>
        <v>-31383.5</v>
      </c>
      <c r="H56" s="110" t="s">
        <v>47</v>
      </c>
      <c r="I56" s="114">
        <f t="shared" si="7"/>
        <v>31383.5</v>
      </c>
      <c r="J56" s="114"/>
      <c r="K56" s="196">
        <f>-I56-J56</f>
        <v>-31383.5</v>
      </c>
      <c r="L56" s="222">
        <v>2010101000</v>
      </c>
      <c r="M56" s="114" t="s">
        <v>25</v>
      </c>
      <c r="N56" s="114">
        <f>J56</f>
        <v>0</v>
      </c>
      <c r="O56" s="114">
        <f t="shared" si="11"/>
        <v>31383.5</v>
      </c>
      <c r="P56" s="114"/>
      <c r="Q56" s="114">
        <f>O56+N56</f>
        <v>31383.5</v>
      </c>
      <c r="R56" s="114"/>
      <c r="S56" s="114"/>
      <c r="T56" s="145"/>
      <c r="U56" s="145"/>
      <c r="V56" s="145"/>
    </row>
    <row r="57" spans="1:22" ht="47.25" x14ac:dyDescent="0.25">
      <c r="A57" s="111"/>
      <c r="B57" s="273">
        <v>5021304001</v>
      </c>
      <c r="C57" s="274" t="s">
        <v>48</v>
      </c>
      <c r="D57" s="275">
        <f>IFERROR(VLOOKUP(B57,'WORKING PAPER FC1'!$I$19:$J$31,2,FALSE),0)</f>
        <v>0</v>
      </c>
      <c r="E57" s="274"/>
      <c r="F57" s="275">
        <f>IFERROR(VLOOKUP(B57,'WORKING PAPER FC1'!$I$11:$J$12,2,FALSE),0)</f>
        <v>0</v>
      </c>
      <c r="G57" s="114">
        <v>-94200</v>
      </c>
      <c r="H57" s="274" t="s">
        <v>48</v>
      </c>
      <c r="I57" s="114">
        <f t="shared" si="7"/>
        <v>94200</v>
      </c>
      <c r="J57" s="114"/>
      <c r="K57" s="196">
        <f t="shared" ref="K57" si="12">G57</f>
        <v>-94200</v>
      </c>
      <c r="L57" s="222">
        <v>2010101000</v>
      </c>
      <c r="M57" s="114" t="s">
        <v>25</v>
      </c>
      <c r="N57" s="114"/>
      <c r="O57" s="114">
        <f t="shared" si="11"/>
        <v>94200</v>
      </c>
      <c r="P57" s="114"/>
      <c r="Q57" s="114">
        <f>O57</f>
        <v>94200</v>
      </c>
      <c r="R57" s="114"/>
      <c r="S57" s="114"/>
      <c r="T57" s="145"/>
      <c r="U57" s="145"/>
      <c r="V57" s="145"/>
    </row>
    <row r="58" spans="1:22" ht="47.25" hidden="1" x14ac:dyDescent="0.25">
      <c r="A58" s="111"/>
      <c r="B58" s="273">
        <v>5021306001</v>
      </c>
      <c r="C58" s="274" t="s">
        <v>49</v>
      </c>
      <c r="D58" s="275">
        <f>IFERROR(VLOOKUP(B58,'WORKING PAPER FC1'!$I$19:$J$31,2,FALSE),0)</f>
        <v>0</v>
      </c>
      <c r="E58" s="274"/>
      <c r="F58" s="275">
        <f>IFERROR(VLOOKUP(B58,'WORKING PAPER FC1'!$I$11:$J$12,2,FALSE),0)</f>
        <v>0</v>
      </c>
      <c r="G58" s="114"/>
      <c r="H58" s="110" t="s">
        <v>49</v>
      </c>
      <c r="I58" s="114">
        <f t="shared" si="7"/>
        <v>0</v>
      </c>
      <c r="J58" s="114"/>
      <c r="K58" s="196">
        <f>-I58-J58</f>
        <v>0</v>
      </c>
      <c r="L58" s="222">
        <v>2010101000</v>
      </c>
      <c r="M58" s="114" t="s">
        <v>25</v>
      </c>
      <c r="N58" s="114">
        <f>J58</f>
        <v>0</v>
      </c>
      <c r="O58" s="114">
        <f t="shared" si="11"/>
        <v>0</v>
      </c>
      <c r="P58" s="114"/>
      <c r="Q58" s="114">
        <f>O58+N58</f>
        <v>0</v>
      </c>
      <c r="R58" s="114"/>
      <c r="S58" s="114"/>
      <c r="T58" s="145"/>
      <c r="U58" s="145"/>
      <c r="V58" s="145"/>
    </row>
    <row r="59" spans="1:22" ht="31.5" x14ac:dyDescent="0.25">
      <c r="A59" s="111"/>
      <c r="B59" s="273">
        <v>5020309000</v>
      </c>
      <c r="C59" s="274" t="s">
        <v>37</v>
      </c>
      <c r="D59" s="275">
        <f>IFERROR(VLOOKUP(B59,'WORKING PAPER FC1'!$I$19:$J$31,2,FALSE),0)</f>
        <v>0</v>
      </c>
      <c r="E59" s="274"/>
      <c r="F59" s="275">
        <f>IFERROR(VLOOKUP(B59,'WORKING PAPER FC1'!$I$11:$J$12,2,FALSE),0)</f>
        <v>0</v>
      </c>
      <c r="G59" s="114">
        <v>-2906.83</v>
      </c>
      <c r="H59" s="274" t="s">
        <v>37</v>
      </c>
      <c r="I59" s="114">
        <f t="shared" si="7"/>
        <v>2906.83</v>
      </c>
      <c r="J59" s="114"/>
      <c r="K59" s="196">
        <f t="shared" ref="K59:K79" si="13">G59</f>
        <v>-2906.83</v>
      </c>
      <c r="L59" s="222">
        <v>2010101000</v>
      </c>
      <c r="M59" s="114" t="s">
        <v>25</v>
      </c>
      <c r="N59" s="114"/>
      <c r="O59" s="114">
        <f t="shared" si="11"/>
        <v>2906.83</v>
      </c>
      <c r="P59" s="114"/>
      <c r="Q59" s="114">
        <f>O59-N59</f>
        <v>2906.83</v>
      </c>
      <c r="R59" s="114"/>
      <c r="S59" s="114"/>
      <c r="T59" s="145"/>
      <c r="U59" s="145"/>
      <c r="V59" s="145"/>
    </row>
    <row r="60" spans="1:22" ht="47.25" x14ac:dyDescent="0.25">
      <c r="A60" s="111"/>
      <c r="B60" s="273">
        <v>5020321003</v>
      </c>
      <c r="C60" s="274" t="s">
        <v>45</v>
      </c>
      <c r="D60" s="275">
        <f>IFERROR(VLOOKUP(B60,'WORKING PAPER FC1'!$I$19:$J$31,2,FALSE),0)</f>
        <v>0</v>
      </c>
      <c r="E60" s="274"/>
      <c r="F60" s="275">
        <f>IFERROR(VLOOKUP(B60,'WORKING PAPER FC1'!$I$11:$J$12,2,FALSE),0)</f>
        <v>0</v>
      </c>
      <c r="G60" s="114">
        <v>-1125704.42</v>
      </c>
      <c r="H60" s="274" t="s">
        <v>45</v>
      </c>
      <c r="I60" s="114">
        <f t="shared" si="7"/>
        <v>1125704.42</v>
      </c>
      <c r="J60" s="114"/>
      <c r="K60" s="196">
        <f t="shared" si="13"/>
        <v>-1125704.42</v>
      </c>
      <c r="L60" s="222">
        <v>1040503000</v>
      </c>
      <c r="M60" s="125" t="s">
        <v>71</v>
      </c>
      <c r="N60" s="114"/>
      <c r="O60" s="114">
        <f t="shared" si="11"/>
        <v>1125704.42</v>
      </c>
      <c r="P60" s="114">
        <f>-O60</f>
        <v>-1125704.42</v>
      </c>
      <c r="Q60" s="114"/>
      <c r="R60" s="114"/>
      <c r="S60" s="114"/>
      <c r="T60" s="145"/>
      <c r="U60" s="145"/>
      <c r="V60" s="145"/>
    </row>
    <row r="61" spans="1:22" ht="31.5" x14ac:dyDescent="0.25">
      <c r="A61" s="111"/>
      <c r="B61" s="273">
        <v>5029999099</v>
      </c>
      <c r="C61" s="274" t="s">
        <v>51</v>
      </c>
      <c r="D61" s="275">
        <f>IFERROR(VLOOKUP(B61,'WORKING PAPER FC1'!$I$19:$J$31,2,FALSE),0)</f>
        <v>0</v>
      </c>
      <c r="E61" s="274"/>
      <c r="F61" s="275">
        <f>IFERROR(VLOOKUP(B61,'WORKING PAPER FC1'!$I$11:$J$12,2,FALSE),0)</f>
        <v>0</v>
      </c>
      <c r="G61" s="114">
        <v>-452233.93</v>
      </c>
      <c r="H61" s="110" t="s">
        <v>51</v>
      </c>
      <c r="I61" s="114">
        <f t="shared" si="7"/>
        <v>452233.93</v>
      </c>
      <c r="J61" s="114"/>
      <c r="K61" s="196">
        <f t="shared" si="13"/>
        <v>-452233.93</v>
      </c>
      <c r="L61" s="222">
        <v>2010101000</v>
      </c>
      <c r="M61" s="114" t="s">
        <v>25</v>
      </c>
      <c r="N61" s="114"/>
      <c r="O61" s="114">
        <f t="shared" si="11"/>
        <v>452233.93</v>
      </c>
      <c r="P61" s="114"/>
      <c r="Q61" s="114">
        <f>O61</f>
        <v>452233.93</v>
      </c>
      <c r="R61" s="114"/>
      <c r="S61" s="114"/>
      <c r="T61" s="145"/>
      <c r="U61" s="145"/>
      <c r="V61" s="145"/>
    </row>
    <row r="62" spans="1:22" x14ac:dyDescent="0.25">
      <c r="A62" s="111"/>
      <c r="B62" s="273">
        <v>5029901000</v>
      </c>
      <c r="C62" s="274" t="s">
        <v>127</v>
      </c>
      <c r="D62" s="275">
        <f>IFERROR(VLOOKUP(B62,'WORKING PAPER FC1'!$I$19:$J$31,2,FALSE),0)</f>
        <v>0</v>
      </c>
      <c r="E62" s="274"/>
      <c r="F62" s="275">
        <f>IFERROR(VLOOKUP(B62,'WORKING PAPER FC1'!$I$11:$J$12,2,FALSE),0)</f>
        <v>0</v>
      </c>
      <c r="G62" s="114">
        <v>175730</v>
      </c>
      <c r="H62" s="274" t="s">
        <v>127</v>
      </c>
      <c r="I62" s="114">
        <f t="shared" si="7"/>
        <v>-175730</v>
      </c>
      <c r="J62" s="114"/>
      <c r="K62" s="196">
        <f t="shared" si="13"/>
        <v>175730</v>
      </c>
      <c r="L62" s="222">
        <v>2010101000</v>
      </c>
      <c r="M62" s="114" t="s">
        <v>25</v>
      </c>
      <c r="N62" s="114"/>
      <c r="O62" s="114">
        <f t="shared" si="11"/>
        <v>-175730</v>
      </c>
      <c r="P62" s="114"/>
      <c r="Q62" s="114">
        <f>O62</f>
        <v>-175730</v>
      </c>
      <c r="R62" s="114"/>
      <c r="S62" s="114"/>
      <c r="T62" s="145"/>
      <c r="U62" s="145"/>
      <c r="V62" s="145"/>
    </row>
    <row r="63" spans="1:22" hidden="1" x14ac:dyDescent="0.25">
      <c r="A63" s="111"/>
      <c r="B63" s="273">
        <v>5020306000</v>
      </c>
      <c r="C63" s="274" t="s">
        <v>209</v>
      </c>
      <c r="D63" s="275"/>
      <c r="E63" s="274"/>
      <c r="F63" s="275">
        <f>IFERROR(VLOOKUP(B63,'WORKING PAPER FC1'!$I$11:$J$12,2,FALSE),0)</f>
        <v>0</v>
      </c>
      <c r="G63" s="114"/>
      <c r="H63" s="274" t="s">
        <v>209</v>
      </c>
      <c r="I63" s="114">
        <f t="shared" si="7"/>
        <v>0</v>
      </c>
      <c r="J63" s="114"/>
      <c r="K63" s="196">
        <f t="shared" si="13"/>
        <v>0</v>
      </c>
      <c r="L63" s="222">
        <v>2010101000</v>
      </c>
      <c r="M63" s="114" t="s">
        <v>25</v>
      </c>
      <c r="N63" s="114"/>
      <c r="O63" s="114">
        <f t="shared" si="11"/>
        <v>0</v>
      </c>
      <c r="P63" s="114"/>
      <c r="Q63" s="114">
        <f>O63</f>
        <v>0</v>
      </c>
      <c r="R63" s="114"/>
      <c r="S63" s="114"/>
      <c r="T63" s="145"/>
      <c r="U63" s="319" t="s">
        <v>210</v>
      </c>
      <c r="V63" s="145"/>
    </row>
    <row r="64" spans="1:22" hidden="1" x14ac:dyDescent="0.25">
      <c r="A64" s="111"/>
      <c r="B64" s="273">
        <v>5020503000</v>
      </c>
      <c r="C64" s="274" t="s">
        <v>41</v>
      </c>
      <c r="D64" s="275">
        <f>IFERROR(VLOOKUP(B64,'WORKING PAPER FC1'!$I$19:$J$31,2,FALSE),0)</f>
        <v>0</v>
      </c>
      <c r="E64" s="274"/>
      <c r="F64" s="275">
        <f>IFERROR(VLOOKUP(B64,'WORKING PAPER FC1'!$I$11:$J$12,2,FALSE),0)</f>
        <v>0</v>
      </c>
      <c r="G64" s="114"/>
      <c r="H64" s="274" t="s">
        <v>41</v>
      </c>
      <c r="I64" s="114">
        <f t="shared" si="7"/>
        <v>0</v>
      </c>
      <c r="J64" s="114"/>
      <c r="K64" s="196">
        <f t="shared" si="13"/>
        <v>0</v>
      </c>
      <c r="L64" s="222">
        <v>2010101000</v>
      </c>
      <c r="M64" s="114" t="s">
        <v>25</v>
      </c>
      <c r="N64" s="114"/>
      <c r="O64" s="114">
        <f t="shared" si="11"/>
        <v>0</v>
      </c>
      <c r="P64" s="114"/>
      <c r="Q64" s="114">
        <f>O64</f>
        <v>0</v>
      </c>
      <c r="R64" s="114"/>
      <c r="S64" s="114"/>
      <c r="T64" s="145"/>
      <c r="U64" s="319"/>
      <c r="V64" s="145"/>
    </row>
    <row r="65" spans="1:22" ht="31.5" x14ac:dyDescent="0.25">
      <c r="A65" s="111"/>
      <c r="B65" s="273">
        <v>5029905003</v>
      </c>
      <c r="C65" s="274" t="s">
        <v>211</v>
      </c>
      <c r="D65" s="275">
        <f>IFERROR(VLOOKUP(B65,'WORKING PAPER FC1'!$I$19:$J$31,2,FALSE),0)</f>
        <v>0</v>
      </c>
      <c r="E65" s="274"/>
      <c r="F65" s="275">
        <f>IFERROR(VLOOKUP(B65,'WORKING PAPER FC1'!$I$11:$J$12,2,FALSE),0)</f>
        <v>0</v>
      </c>
      <c r="G65" s="114">
        <v>-6000</v>
      </c>
      <c r="H65" s="274" t="s">
        <v>211</v>
      </c>
      <c r="I65" s="114">
        <f t="shared" si="7"/>
        <v>6000</v>
      </c>
      <c r="J65" s="114"/>
      <c r="K65" s="196">
        <f t="shared" si="13"/>
        <v>-6000</v>
      </c>
      <c r="L65" s="222">
        <v>2010101000</v>
      </c>
      <c r="M65" s="114" t="s">
        <v>25</v>
      </c>
      <c r="N65" s="114"/>
      <c r="O65" s="114">
        <f t="shared" si="11"/>
        <v>6000</v>
      </c>
      <c r="P65" s="114"/>
      <c r="Q65" s="114">
        <f>O65</f>
        <v>6000</v>
      </c>
      <c r="R65" s="114"/>
      <c r="S65" s="114"/>
      <c r="T65" s="145"/>
      <c r="U65" s="319"/>
      <c r="V65" s="145"/>
    </row>
    <row r="66" spans="1:22" ht="31.5" x14ac:dyDescent="0.25">
      <c r="A66" s="111"/>
      <c r="B66" s="273">
        <v>5020322001</v>
      </c>
      <c r="C66" s="274" t="s">
        <v>215</v>
      </c>
      <c r="D66" s="275">
        <f>IFERROR(VLOOKUP(B66,'WORKING PAPER FC1'!$I$19:$J$31,2,FALSE),0)</f>
        <v>0</v>
      </c>
      <c r="E66" s="274"/>
      <c r="F66" s="275">
        <f>IFERROR(VLOOKUP(B66,'WORKING PAPER FC1'!$I$11:$J$12,2,FALSE),0)</f>
        <v>0</v>
      </c>
      <c r="G66" s="114">
        <v>-1369894</v>
      </c>
      <c r="H66" s="274" t="s">
        <v>215</v>
      </c>
      <c r="I66" s="114">
        <f t="shared" si="7"/>
        <v>1369894</v>
      </c>
      <c r="J66" s="114"/>
      <c r="K66" s="196">
        <f t="shared" si="13"/>
        <v>-1369894</v>
      </c>
      <c r="L66" s="222">
        <v>1040601000</v>
      </c>
      <c r="M66" s="114" t="s">
        <v>216</v>
      </c>
      <c r="N66" s="114"/>
      <c r="O66" s="114">
        <f t="shared" si="11"/>
        <v>1369894</v>
      </c>
      <c r="P66" s="114">
        <f t="shared" ref="P66:P70" si="14">-O66</f>
        <v>-1369894</v>
      </c>
      <c r="Q66" s="114"/>
      <c r="R66" s="114"/>
      <c r="S66" s="114"/>
      <c r="T66" s="145"/>
      <c r="U66" s="319"/>
      <c r="V66" s="145"/>
    </row>
    <row r="67" spans="1:22" ht="47.25" hidden="1" x14ac:dyDescent="0.25">
      <c r="A67" s="111"/>
      <c r="B67" s="273">
        <v>5020321099</v>
      </c>
      <c r="C67" s="274" t="s">
        <v>217</v>
      </c>
      <c r="D67" s="275"/>
      <c r="E67" s="274"/>
      <c r="F67" s="275"/>
      <c r="G67" s="114"/>
      <c r="H67" s="274" t="s">
        <v>217</v>
      </c>
      <c r="I67" s="114">
        <f t="shared" si="7"/>
        <v>0</v>
      </c>
      <c r="J67" s="114"/>
      <c r="K67" s="196">
        <f t="shared" si="13"/>
        <v>0</v>
      </c>
      <c r="L67" s="222">
        <v>2010101000</v>
      </c>
      <c r="M67" s="114" t="s">
        <v>25</v>
      </c>
      <c r="N67" s="114"/>
      <c r="O67" s="114">
        <f t="shared" si="11"/>
        <v>0</v>
      </c>
      <c r="P67" s="114">
        <f t="shared" si="14"/>
        <v>0</v>
      </c>
      <c r="Q67" s="114"/>
      <c r="R67" s="114"/>
      <c r="S67" s="114"/>
      <c r="T67" s="145"/>
      <c r="U67" s="319"/>
      <c r="V67" s="145"/>
    </row>
    <row r="68" spans="1:22" ht="31.5" x14ac:dyDescent="0.25">
      <c r="A68" s="111"/>
      <c r="B68" s="381">
        <v>5020308000</v>
      </c>
      <c r="C68" s="274" t="s">
        <v>213</v>
      </c>
      <c r="D68" s="275">
        <f>IFERROR(VLOOKUP(B68,'WORKING PAPER FC1'!$I$19:$J$31,2,FALSE),0)</f>
        <v>0</v>
      </c>
      <c r="E68" s="274"/>
      <c r="F68" s="275">
        <f>IFERROR(VLOOKUP(B68,'WORKING PAPER FC1'!$I$11:$J$12,2,FALSE),0)</f>
        <v>0</v>
      </c>
      <c r="G68" s="114">
        <v>-152424.75</v>
      </c>
      <c r="H68" s="274" t="s">
        <v>213</v>
      </c>
      <c r="I68" s="114">
        <f t="shared" si="7"/>
        <v>152424.75</v>
      </c>
      <c r="J68" s="114"/>
      <c r="K68" s="196">
        <f t="shared" si="13"/>
        <v>-152424.75</v>
      </c>
      <c r="L68" s="222">
        <v>1040407000</v>
      </c>
      <c r="M68" s="125" t="s">
        <v>214</v>
      </c>
      <c r="N68" s="114"/>
      <c r="O68" s="114">
        <f t="shared" si="11"/>
        <v>152424.75</v>
      </c>
      <c r="P68" s="114">
        <f t="shared" si="14"/>
        <v>-152424.75</v>
      </c>
      <c r="Q68" s="114"/>
      <c r="R68" s="114"/>
      <c r="S68" s="114"/>
      <c r="T68" s="145"/>
      <c r="U68" s="319"/>
      <c r="V68" s="145"/>
    </row>
    <row r="69" spans="1:22" ht="47.25" hidden="1" x14ac:dyDescent="0.25">
      <c r="A69" s="111"/>
      <c r="B69" s="273">
        <v>5020321007</v>
      </c>
      <c r="C69" s="274" t="s">
        <v>219</v>
      </c>
      <c r="D69" s="275">
        <f>IFERROR(VLOOKUP(B69,'WORKING PAPER FC1'!$I$19:$J$31,2,FALSE),0)</f>
        <v>0</v>
      </c>
      <c r="E69" s="274"/>
      <c r="F69" s="275">
        <f>IFERROR(VLOOKUP(B69,'WORKING PAPER FC1'!$I$11:$J$12,2,FALSE),0)</f>
        <v>0</v>
      </c>
      <c r="G69" s="114"/>
      <c r="H69" s="274" t="s">
        <v>219</v>
      </c>
      <c r="I69" s="114">
        <f t="shared" si="7"/>
        <v>0</v>
      </c>
      <c r="J69" s="114"/>
      <c r="K69" s="196">
        <f t="shared" si="13"/>
        <v>0</v>
      </c>
      <c r="L69" s="222">
        <v>1040507000</v>
      </c>
      <c r="M69" s="125" t="s">
        <v>220</v>
      </c>
      <c r="N69" s="114"/>
      <c r="O69" s="114">
        <f t="shared" si="11"/>
        <v>0</v>
      </c>
      <c r="P69" s="114">
        <f t="shared" si="14"/>
        <v>0</v>
      </c>
      <c r="Q69" s="114"/>
      <c r="R69" s="114"/>
      <c r="S69" s="114"/>
      <c r="T69" s="145"/>
      <c r="U69" s="319"/>
      <c r="V69" s="145"/>
    </row>
    <row r="70" spans="1:22" ht="47.25" x14ac:dyDescent="0.25">
      <c r="A70" s="111"/>
      <c r="B70" s="273">
        <v>5020321012</v>
      </c>
      <c r="C70" s="274" t="s">
        <v>395</v>
      </c>
      <c r="D70" s="275"/>
      <c r="E70" s="274"/>
      <c r="F70" s="275"/>
      <c r="G70" s="114">
        <v>-53313</v>
      </c>
      <c r="H70" s="274" t="s">
        <v>395</v>
      </c>
      <c r="I70" s="114">
        <f t="shared" si="7"/>
        <v>53313</v>
      </c>
      <c r="J70" s="114"/>
      <c r="K70" s="196">
        <f t="shared" si="13"/>
        <v>-53313</v>
      </c>
      <c r="L70" s="222">
        <v>1040512000</v>
      </c>
      <c r="M70" s="125" t="s">
        <v>394</v>
      </c>
      <c r="N70" s="114"/>
      <c r="O70" s="114">
        <f t="shared" si="11"/>
        <v>53313</v>
      </c>
      <c r="P70" s="114">
        <f t="shared" si="14"/>
        <v>-53313</v>
      </c>
      <c r="Q70" s="114"/>
      <c r="R70" s="114"/>
      <c r="S70" s="114"/>
      <c r="T70" s="145"/>
      <c r="U70" s="319"/>
      <c r="V70" s="145"/>
    </row>
    <row r="71" spans="1:22" ht="31.5" x14ac:dyDescent="0.25">
      <c r="A71" s="111"/>
      <c r="B71" s="273">
        <v>5029905001</v>
      </c>
      <c r="C71" s="274" t="s">
        <v>221</v>
      </c>
      <c r="D71" s="275">
        <f>IFERROR(VLOOKUP(B71,'WORKING PAPER FC1'!$I$19:$J$31,2,FALSE),0)</f>
        <v>0</v>
      </c>
      <c r="E71" s="274"/>
      <c r="F71" s="275">
        <f>IFERROR(VLOOKUP(B71,'WORKING PAPER FC1'!$I$11:$J$12,2,FALSE),0)</f>
        <v>0</v>
      </c>
      <c r="G71" s="114">
        <f>'WORKING PAPER FC1'!AV3</f>
        <v>-30000</v>
      </c>
      <c r="H71" s="274" t="s">
        <v>221</v>
      </c>
      <c r="I71" s="114">
        <f t="shared" si="7"/>
        <v>30000</v>
      </c>
      <c r="J71" s="114"/>
      <c r="K71" s="196">
        <f t="shared" si="13"/>
        <v>-30000</v>
      </c>
      <c r="L71" s="222">
        <v>2010101000</v>
      </c>
      <c r="M71" s="114" t="s">
        <v>25</v>
      </c>
      <c r="N71" s="114"/>
      <c r="O71" s="114">
        <f t="shared" si="11"/>
        <v>30000</v>
      </c>
      <c r="P71" s="114"/>
      <c r="Q71" s="114">
        <f>O71-N71</f>
        <v>30000</v>
      </c>
      <c r="R71" s="114"/>
      <c r="S71" s="114"/>
      <c r="T71" s="145"/>
      <c r="U71" s="319"/>
      <c r="V71" s="145"/>
    </row>
    <row r="72" spans="1:22" ht="31.5" x14ac:dyDescent="0.25">
      <c r="A72" s="111"/>
      <c r="B72" s="273">
        <v>5029902000</v>
      </c>
      <c r="C72" s="274" t="s">
        <v>52</v>
      </c>
      <c r="D72" s="275">
        <f>IFERROR(VLOOKUP(B72,'WORKING PAPER FC1'!$I$19:$J$31,2,FALSE),0)</f>
        <v>0</v>
      </c>
      <c r="E72" s="274"/>
      <c r="F72" s="275">
        <f>IFERROR(VLOOKUP(B72,'WORKING PAPER FC1'!$I$11:$J$12,2,FALSE),0)</f>
        <v>0</v>
      </c>
      <c r="G72" s="114">
        <f>-180550+'WORKING PAPER FC1'!BD8</f>
        <v>-274550</v>
      </c>
      <c r="H72" s="274" t="s">
        <v>52</v>
      </c>
      <c r="I72" s="114">
        <f t="shared" si="7"/>
        <v>274550</v>
      </c>
      <c r="J72" s="114"/>
      <c r="K72" s="196">
        <f t="shared" si="13"/>
        <v>-274550</v>
      </c>
      <c r="L72" s="222">
        <v>2010101000</v>
      </c>
      <c r="M72" s="114" t="s">
        <v>25</v>
      </c>
      <c r="N72" s="114"/>
      <c r="O72" s="114">
        <f t="shared" si="11"/>
        <v>274550</v>
      </c>
      <c r="P72" s="114"/>
      <c r="Q72" s="114">
        <f>O72-N72</f>
        <v>274550</v>
      </c>
      <c r="R72" s="114"/>
      <c r="S72" s="114"/>
      <c r="T72" s="145"/>
      <c r="U72" s="319"/>
      <c r="V72" s="145"/>
    </row>
    <row r="73" spans="1:22" ht="47.25" x14ac:dyDescent="0.25">
      <c r="A73" s="111"/>
      <c r="B73" s="273">
        <v>5020321001</v>
      </c>
      <c r="C73" s="274" t="s">
        <v>222</v>
      </c>
      <c r="D73" s="275">
        <f>IFERROR(VLOOKUP(B73,'WORKING PAPER FC1'!$I$19:$J$31,2,FALSE),0)</f>
        <v>0</v>
      </c>
      <c r="E73" s="274"/>
      <c r="F73" s="275">
        <f>IFERROR(VLOOKUP(B73,'WORKING PAPER FC1'!$I$11:$J$12,2,FALSE),0)</f>
        <v>0</v>
      </c>
      <c r="G73" s="114">
        <v>-59670</v>
      </c>
      <c r="H73" s="274" t="s">
        <v>222</v>
      </c>
      <c r="I73" s="114">
        <f t="shared" si="7"/>
        <v>59670</v>
      </c>
      <c r="J73" s="114"/>
      <c r="K73" s="196">
        <f t="shared" si="13"/>
        <v>-59670</v>
      </c>
      <c r="L73" s="222">
        <v>1040501000</v>
      </c>
      <c r="M73" s="114" t="s">
        <v>223</v>
      </c>
      <c r="N73" s="114"/>
      <c r="O73" s="114">
        <f t="shared" si="11"/>
        <v>59670</v>
      </c>
      <c r="P73" s="114">
        <f>-O73</f>
        <v>-59670</v>
      </c>
      <c r="Q73" s="114"/>
      <c r="R73" s="114"/>
      <c r="S73" s="114"/>
      <c r="T73" s="145"/>
      <c r="U73" s="319"/>
      <c r="V73" s="145"/>
    </row>
    <row r="74" spans="1:22" ht="47.25" x14ac:dyDescent="0.25">
      <c r="A74" s="111"/>
      <c r="B74" s="273">
        <v>5020321010</v>
      </c>
      <c r="C74" s="274" t="s">
        <v>224</v>
      </c>
      <c r="D74" s="275">
        <f>IFERROR(VLOOKUP(B74,'WORKING PAPER FC1'!$I$19:$J$31,2,FALSE),0)</f>
        <v>0</v>
      </c>
      <c r="E74" s="274"/>
      <c r="F74" s="275">
        <f>IFERROR(VLOOKUP(B74,'WORKING PAPER FC1'!$I$11:$J$12,2,FALSE),0)</f>
        <v>0</v>
      </c>
      <c r="G74" s="114">
        <v>-90833</v>
      </c>
      <c r="H74" s="274" t="s">
        <v>222</v>
      </c>
      <c r="I74" s="114">
        <f t="shared" si="7"/>
        <v>90833</v>
      </c>
      <c r="J74" s="114"/>
      <c r="K74" s="196">
        <f t="shared" si="13"/>
        <v>-90833</v>
      </c>
      <c r="L74" s="222">
        <v>1040510000</v>
      </c>
      <c r="M74" s="114" t="s">
        <v>225</v>
      </c>
      <c r="N74" s="114"/>
      <c r="O74" s="114">
        <f t="shared" si="11"/>
        <v>90833</v>
      </c>
      <c r="P74" s="114">
        <f>-O74</f>
        <v>-90833</v>
      </c>
      <c r="Q74" s="114"/>
      <c r="R74" s="114"/>
      <c r="S74" s="114"/>
      <c r="T74" s="145"/>
      <c r="U74" s="319"/>
      <c r="V74" s="145"/>
    </row>
    <row r="75" spans="1:22" ht="47.25" hidden="1" x14ac:dyDescent="0.25">
      <c r="A75" s="111"/>
      <c r="B75" s="273">
        <v>5020321010</v>
      </c>
      <c r="C75" s="274" t="s">
        <v>224</v>
      </c>
      <c r="D75" s="275"/>
      <c r="E75" s="274"/>
      <c r="F75" s="275"/>
      <c r="G75" s="114"/>
      <c r="H75" s="274" t="s">
        <v>222</v>
      </c>
      <c r="I75" s="114">
        <f t="shared" si="7"/>
        <v>0</v>
      </c>
      <c r="J75" s="114"/>
      <c r="K75" s="196">
        <f t="shared" si="13"/>
        <v>0</v>
      </c>
      <c r="L75" s="222">
        <v>2010101000</v>
      </c>
      <c r="M75" s="114" t="s">
        <v>25</v>
      </c>
      <c r="N75" s="114"/>
      <c r="O75" s="114">
        <f t="shared" si="11"/>
        <v>0</v>
      </c>
      <c r="P75" s="114">
        <f>-O75</f>
        <v>0</v>
      </c>
      <c r="Q75" s="114"/>
      <c r="R75" s="114"/>
      <c r="S75" s="114"/>
      <c r="T75" s="145"/>
      <c r="U75" s="319"/>
      <c r="V75" s="145"/>
    </row>
    <row r="76" spans="1:22" ht="31.5" hidden="1" x14ac:dyDescent="0.25">
      <c r="A76" s="111"/>
      <c r="B76" s="273">
        <v>5020321013</v>
      </c>
      <c r="C76" s="274" t="s">
        <v>259</v>
      </c>
      <c r="D76" s="275">
        <f>IFERROR(VLOOKUP(B76,'WORKING PAPER FC1'!$I$19:$J$31,2,FALSE),0)</f>
        <v>0</v>
      </c>
      <c r="E76" s="274"/>
      <c r="F76" s="275"/>
      <c r="G76" s="114"/>
      <c r="H76" s="274" t="s">
        <v>259</v>
      </c>
      <c r="I76" s="114">
        <f t="shared" si="7"/>
        <v>0</v>
      </c>
      <c r="J76" s="114"/>
      <c r="K76" s="196">
        <f t="shared" si="13"/>
        <v>0</v>
      </c>
      <c r="L76" s="222">
        <v>1040513000</v>
      </c>
      <c r="M76" s="114" t="s">
        <v>260</v>
      </c>
      <c r="N76" s="114"/>
      <c r="O76" s="114">
        <f t="shared" si="11"/>
        <v>0</v>
      </c>
      <c r="P76" s="114">
        <f>-O76</f>
        <v>0</v>
      </c>
      <c r="Q76" s="114"/>
      <c r="R76" s="114"/>
      <c r="S76" s="114"/>
      <c r="T76" s="145"/>
      <c r="U76" s="319"/>
      <c r="V76" s="145"/>
    </row>
    <row r="77" spans="1:22" ht="31.5" x14ac:dyDescent="0.25">
      <c r="A77" s="111"/>
      <c r="B77" s="273">
        <v>5050105003</v>
      </c>
      <c r="C77" s="274" t="s">
        <v>228</v>
      </c>
      <c r="D77" s="275">
        <f>IFERROR(VLOOKUP(B77,'WORKING PAPER FC1'!$I$19:$J$31,2,FALSE),0)</f>
        <v>0</v>
      </c>
      <c r="E77" s="274"/>
      <c r="F77" s="275">
        <f>IFERROR(VLOOKUP(B77,'WORKING PAPER FC1'!$I$11:$J$12,2,FALSE),0)</f>
        <v>0</v>
      </c>
      <c r="G77" s="114">
        <f>-17375+'WORKING PAPER FC1'!BP23</f>
        <v>-142445</v>
      </c>
      <c r="H77" s="274" t="s">
        <v>228</v>
      </c>
      <c r="I77" s="114">
        <f t="shared" si="7"/>
        <v>142445</v>
      </c>
      <c r="J77" s="114"/>
      <c r="K77" s="196">
        <f t="shared" si="13"/>
        <v>-142445</v>
      </c>
      <c r="L77" s="222">
        <v>1060503100</v>
      </c>
      <c r="M77" s="125" t="s">
        <v>229</v>
      </c>
      <c r="N77" s="114"/>
      <c r="O77" s="114">
        <f t="shared" si="11"/>
        <v>142445</v>
      </c>
      <c r="P77" s="114">
        <f>-O77</f>
        <v>-142445</v>
      </c>
      <c r="Q77" s="114"/>
      <c r="R77" s="114"/>
      <c r="S77" s="114"/>
      <c r="T77" s="145"/>
      <c r="U77" s="319"/>
      <c r="V77" s="145"/>
    </row>
    <row r="78" spans="1:22" x14ac:dyDescent="0.25">
      <c r="A78" s="111"/>
      <c r="B78" s="273">
        <v>5050104099</v>
      </c>
      <c r="C78" s="274" t="s">
        <v>369</v>
      </c>
      <c r="D78" s="275"/>
      <c r="E78" s="274"/>
      <c r="F78" s="275"/>
      <c r="G78" s="114">
        <v>-234887.5</v>
      </c>
      <c r="H78" s="274" t="s">
        <v>369</v>
      </c>
      <c r="I78" s="114">
        <f t="shared" si="7"/>
        <v>234887.5</v>
      </c>
      <c r="J78" s="114"/>
      <c r="K78" s="196">
        <f t="shared" si="13"/>
        <v>-234887.5</v>
      </c>
      <c r="L78" s="222">
        <v>1060499100</v>
      </c>
      <c r="M78" s="125" t="s">
        <v>370</v>
      </c>
      <c r="N78" s="114"/>
      <c r="O78" s="114">
        <f>I78</f>
        <v>234887.5</v>
      </c>
      <c r="P78" s="114">
        <f>O78*-1</f>
        <v>-234887.5</v>
      </c>
      <c r="Q78" s="114"/>
      <c r="R78" s="114"/>
      <c r="S78" s="114"/>
      <c r="T78" s="145"/>
      <c r="U78" s="319"/>
      <c r="V78" s="145"/>
    </row>
    <row r="79" spans="1:22" ht="31.5" x14ac:dyDescent="0.25">
      <c r="A79" s="111"/>
      <c r="B79" s="273">
        <v>5029904000</v>
      </c>
      <c r="C79" s="274" t="s">
        <v>243</v>
      </c>
      <c r="D79" s="275">
        <f>IFERROR(VLOOKUP(B79,'WORKING PAPER FC1'!$I$19:$J$31,2,FALSE),0)</f>
        <v>0</v>
      </c>
      <c r="E79" s="274"/>
      <c r="F79" s="275">
        <f>IFERROR(VLOOKUP(B79,'WORKING PAPER FC1'!$I$11:$J$12,2,FALSE),0)</f>
        <v>0</v>
      </c>
      <c r="G79" s="114">
        <v>-950000</v>
      </c>
      <c r="H79" s="274" t="s">
        <v>243</v>
      </c>
      <c r="I79" s="114">
        <f t="shared" si="7"/>
        <v>950000</v>
      </c>
      <c r="J79" s="114"/>
      <c r="K79" s="196">
        <f t="shared" si="13"/>
        <v>-950000</v>
      </c>
      <c r="L79" s="222">
        <v>2010101000</v>
      </c>
      <c r="M79" s="114" t="s">
        <v>25</v>
      </c>
      <c r="N79" s="114"/>
      <c r="O79" s="114">
        <f t="shared" si="11"/>
        <v>950000</v>
      </c>
      <c r="P79" s="114"/>
      <c r="Q79" s="114">
        <f>O79</f>
        <v>950000</v>
      </c>
      <c r="R79" s="114"/>
      <c r="S79" s="114"/>
      <c r="T79" s="145"/>
      <c r="U79" s="319"/>
      <c r="V79" s="145"/>
    </row>
    <row r="80" spans="1:22" ht="31.5" x14ac:dyDescent="0.25">
      <c r="A80" s="111"/>
      <c r="B80" s="273">
        <v>1060503000</v>
      </c>
      <c r="C80" s="274" t="s">
        <v>282</v>
      </c>
      <c r="D80" s="275"/>
      <c r="E80" s="274"/>
      <c r="F80" s="275"/>
      <c r="G80" s="114"/>
      <c r="H80" s="274" t="s">
        <v>282</v>
      </c>
      <c r="I80" s="114">
        <f>G80</f>
        <v>0</v>
      </c>
      <c r="J80" s="114"/>
      <c r="K80" s="196">
        <f>I80</f>
        <v>0</v>
      </c>
      <c r="L80" s="222">
        <v>4030106000</v>
      </c>
      <c r="M80" s="125" t="s">
        <v>285</v>
      </c>
      <c r="N80" s="114"/>
      <c r="O80" s="114">
        <f>G80</f>
        <v>0</v>
      </c>
      <c r="P80" s="114">
        <f>O80</f>
        <v>0</v>
      </c>
      <c r="Q80" s="114"/>
      <c r="R80" s="114"/>
      <c r="S80" s="114"/>
      <c r="T80" s="145"/>
      <c r="U80" s="319"/>
      <c r="V80" s="145"/>
    </row>
    <row r="81" spans="1:22" x14ac:dyDescent="0.25">
      <c r="A81" s="111"/>
      <c r="B81" s="273">
        <v>1060601000</v>
      </c>
      <c r="C81" s="274" t="s">
        <v>72</v>
      </c>
      <c r="D81" s="275"/>
      <c r="E81" s="274"/>
      <c r="F81" s="275"/>
      <c r="G81" s="114">
        <f>'WORKING PAPER FC1'!BP26</f>
        <v>-907500</v>
      </c>
      <c r="H81" s="274" t="s">
        <v>72</v>
      </c>
      <c r="I81" s="114"/>
      <c r="J81" s="114">
        <f>G81*-1</f>
        <v>907500</v>
      </c>
      <c r="K81" s="196">
        <f>I81</f>
        <v>0</v>
      </c>
      <c r="L81" s="222">
        <v>4030106000</v>
      </c>
      <c r="M81" s="125" t="s">
        <v>285</v>
      </c>
      <c r="N81" s="114">
        <f>J81</f>
        <v>907500</v>
      </c>
      <c r="O81" s="114"/>
      <c r="P81" s="114">
        <f>-N81</f>
        <v>-907500</v>
      </c>
      <c r="Q81" s="114"/>
      <c r="R81" s="114"/>
      <c r="S81" s="114"/>
      <c r="T81" s="145"/>
      <c r="U81" s="319"/>
      <c r="V81" s="145"/>
    </row>
    <row r="82" spans="1:22" x14ac:dyDescent="0.25">
      <c r="A82" s="111"/>
      <c r="B82" s="273">
        <v>1060499000</v>
      </c>
      <c r="C82" s="274" t="s">
        <v>284</v>
      </c>
      <c r="D82" s="275"/>
      <c r="E82" s="274"/>
      <c r="F82" s="275"/>
      <c r="G82" s="114"/>
      <c r="H82" s="274"/>
      <c r="I82" s="114"/>
      <c r="J82" s="114"/>
      <c r="K82" s="196"/>
      <c r="L82" s="222">
        <v>1060499000</v>
      </c>
      <c r="M82" s="125" t="s">
        <v>284</v>
      </c>
      <c r="N82" s="114"/>
      <c r="O82" s="114">
        <f>G82</f>
        <v>0</v>
      </c>
      <c r="P82" s="114">
        <f>O82</f>
        <v>0</v>
      </c>
      <c r="Q82" s="114"/>
      <c r="R82" s="114"/>
      <c r="S82" s="114">
        <f>+P82</f>
        <v>0</v>
      </c>
      <c r="T82" s="145"/>
      <c r="U82" s="319"/>
      <c r="V82" s="145"/>
    </row>
    <row r="83" spans="1:22" s="318" customFormat="1" ht="31.5" x14ac:dyDescent="0.25">
      <c r="A83" s="278"/>
      <c r="B83" s="271"/>
      <c r="C83" s="272" t="s">
        <v>54</v>
      </c>
      <c r="D83" s="272"/>
      <c r="E83" s="272"/>
      <c r="F83" s="275">
        <f>IFERROR(VLOOKUP(B83,'WORKING PAPER FC1'!$I$11:$J$12,2,FALSE),0)</f>
        <v>0</v>
      </c>
      <c r="G83" s="120"/>
      <c r="H83" s="121"/>
      <c r="I83" s="120"/>
      <c r="J83" s="120"/>
      <c r="K83" s="198"/>
      <c r="L83" s="221"/>
      <c r="M83" s="120"/>
      <c r="N83" s="120"/>
      <c r="O83" s="120"/>
      <c r="P83" s="120"/>
      <c r="Q83" s="114"/>
      <c r="R83" s="120"/>
      <c r="S83" s="120"/>
      <c r="T83" s="317"/>
      <c r="U83" s="317"/>
      <c r="V83" s="317"/>
    </row>
    <row r="84" spans="1:22" x14ac:dyDescent="0.25">
      <c r="A84" s="111"/>
      <c r="B84" s="273">
        <v>1060502000</v>
      </c>
      <c r="C84" s="274" t="s">
        <v>295</v>
      </c>
      <c r="D84" s="274"/>
      <c r="E84" s="274"/>
      <c r="F84" s="275"/>
      <c r="G84" s="114">
        <v>490000</v>
      </c>
      <c r="H84" s="128"/>
      <c r="I84" s="114"/>
      <c r="J84" s="114"/>
      <c r="K84" s="196">
        <f t="shared" ref="K84:K92" si="15">J84</f>
        <v>0</v>
      </c>
      <c r="L84" s="222">
        <v>1060502000</v>
      </c>
      <c r="M84" s="114" t="s">
        <v>295</v>
      </c>
      <c r="N84" s="114">
        <v>490000</v>
      </c>
      <c r="O84" s="114"/>
      <c r="P84" s="114">
        <v>490000</v>
      </c>
      <c r="Q84" s="114"/>
      <c r="R84" s="114"/>
      <c r="S84" s="114">
        <v>490000</v>
      </c>
      <c r="T84" s="145"/>
      <c r="U84" s="145"/>
      <c r="V84" s="145"/>
    </row>
    <row r="85" spans="1:22" x14ac:dyDescent="0.25">
      <c r="A85" s="111"/>
      <c r="B85" s="273">
        <v>3010101000</v>
      </c>
      <c r="C85" s="274" t="s">
        <v>397</v>
      </c>
      <c r="D85" s="274"/>
      <c r="E85" s="274"/>
      <c r="F85" s="275"/>
      <c r="G85" s="114">
        <v>34000</v>
      </c>
      <c r="H85" s="128"/>
      <c r="I85" s="114"/>
      <c r="J85" s="114"/>
      <c r="K85" s="196"/>
      <c r="L85" s="222">
        <v>2020101000</v>
      </c>
      <c r="M85" s="114" t="s">
        <v>128</v>
      </c>
      <c r="N85" s="114">
        <f>G85</f>
        <v>34000</v>
      </c>
      <c r="O85" s="114"/>
      <c r="P85" s="114"/>
      <c r="Q85" s="114">
        <f>N85*-1</f>
        <v>-34000</v>
      </c>
      <c r="R85" s="114"/>
      <c r="S85" s="114">
        <f>G85</f>
        <v>34000</v>
      </c>
      <c r="T85" s="145"/>
      <c r="U85" s="145"/>
      <c r="V85" s="145"/>
    </row>
    <row r="86" spans="1:22" ht="31.5" x14ac:dyDescent="0.25">
      <c r="A86" s="111"/>
      <c r="B86" s="273">
        <v>5020322001</v>
      </c>
      <c r="C86" s="128" t="s">
        <v>215</v>
      </c>
      <c r="D86" s="274"/>
      <c r="E86" s="274"/>
      <c r="F86" s="275"/>
      <c r="G86" s="114">
        <v>13200</v>
      </c>
      <c r="H86" s="128" t="s">
        <v>215</v>
      </c>
      <c r="I86" s="114"/>
      <c r="J86" s="114">
        <f t="shared" ref="J86:J92" si="16">G86</f>
        <v>13200</v>
      </c>
      <c r="K86" s="196">
        <f t="shared" si="15"/>
        <v>13200</v>
      </c>
      <c r="L86" s="222">
        <v>2010101000</v>
      </c>
      <c r="M86" s="114" t="s">
        <v>25</v>
      </c>
      <c r="N86" s="114">
        <f t="shared" ref="N86:N92" si="17">J86</f>
        <v>13200</v>
      </c>
      <c r="O86" s="114"/>
      <c r="P86" s="114"/>
      <c r="Q86" s="114">
        <f>N86*-1</f>
        <v>-13200</v>
      </c>
      <c r="R86" s="114"/>
      <c r="S86" s="114"/>
      <c r="T86" s="145"/>
      <c r="U86" s="145"/>
      <c r="V86" s="145"/>
    </row>
    <row r="87" spans="1:22" ht="47.25" x14ac:dyDescent="0.25">
      <c r="A87" s="111"/>
      <c r="B87" s="273">
        <v>5020321099</v>
      </c>
      <c r="C87" s="274" t="s">
        <v>217</v>
      </c>
      <c r="D87" s="274">
        <v>0</v>
      </c>
      <c r="E87" s="274"/>
      <c r="F87" s="275">
        <v>0</v>
      </c>
      <c r="G87" s="114">
        <v>190355</v>
      </c>
      <c r="H87" s="274" t="s">
        <v>217</v>
      </c>
      <c r="I87" s="114"/>
      <c r="J87" s="114">
        <f t="shared" si="16"/>
        <v>190355</v>
      </c>
      <c r="K87" s="196">
        <f t="shared" si="15"/>
        <v>190355</v>
      </c>
      <c r="L87" s="222">
        <v>1040599000</v>
      </c>
      <c r="M87" s="125" t="s">
        <v>218</v>
      </c>
      <c r="N87" s="114">
        <f t="shared" si="17"/>
        <v>190355</v>
      </c>
      <c r="O87" s="114"/>
      <c r="P87" s="114">
        <f>N87</f>
        <v>190355</v>
      </c>
      <c r="Q87" s="114"/>
      <c r="R87" s="114"/>
      <c r="S87" s="114"/>
      <c r="T87" s="145"/>
      <c r="U87" s="145"/>
      <c r="V87" s="145"/>
    </row>
    <row r="88" spans="1:22" ht="47.25" x14ac:dyDescent="0.25">
      <c r="A88" s="111"/>
      <c r="B88" s="273">
        <v>5020308000</v>
      </c>
      <c r="C88" s="274" t="s">
        <v>213</v>
      </c>
      <c r="D88" s="274">
        <v>0</v>
      </c>
      <c r="E88" s="274"/>
      <c r="F88" s="275">
        <v>0</v>
      </c>
      <c r="G88" s="114">
        <v>433124.75</v>
      </c>
      <c r="H88" s="274" t="s">
        <v>45</v>
      </c>
      <c r="I88" s="114"/>
      <c r="J88" s="114">
        <f t="shared" si="16"/>
        <v>433124.75</v>
      </c>
      <c r="K88" s="196">
        <f t="shared" si="15"/>
        <v>433124.75</v>
      </c>
      <c r="L88" s="222">
        <v>2010101000</v>
      </c>
      <c r="M88" s="114" t="s">
        <v>25</v>
      </c>
      <c r="N88" s="114">
        <f t="shared" si="17"/>
        <v>433124.75</v>
      </c>
      <c r="O88" s="114"/>
      <c r="P88" s="114"/>
      <c r="Q88" s="114">
        <f>N88*-1</f>
        <v>-433124.75</v>
      </c>
      <c r="R88" s="114"/>
      <c r="S88" s="114"/>
      <c r="T88" s="145"/>
      <c r="U88" s="145"/>
      <c r="V88" s="145"/>
    </row>
    <row r="89" spans="1:22" x14ac:dyDescent="0.25">
      <c r="A89" s="111"/>
      <c r="B89" s="273">
        <v>5020305000</v>
      </c>
      <c r="C89" s="274" t="s">
        <v>31</v>
      </c>
      <c r="D89" s="274"/>
      <c r="E89" s="274"/>
      <c r="F89" s="275"/>
      <c r="G89" s="114">
        <v>1698217.3299999998</v>
      </c>
      <c r="H89" s="274" t="s">
        <v>31</v>
      </c>
      <c r="I89" s="114"/>
      <c r="J89" s="114">
        <f t="shared" si="16"/>
        <v>1698217.3299999998</v>
      </c>
      <c r="K89" s="196">
        <f t="shared" si="15"/>
        <v>1698217.3299999998</v>
      </c>
      <c r="L89" s="222">
        <v>2010101000</v>
      </c>
      <c r="M89" s="114" t="s">
        <v>25</v>
      </c>
      <c r="N89" s="114">
        <f t="shared" si="17"/>
        <v>1698217.3299999998</v>
      </c>
      <c r="O89" s="114"/>
      <c r="P89" s="114"/>
      <c r="Q89" s="114">
        <f>N89*-1</f>
        <v>-1698217.3299999998</v>
      </c>
      <c r="R89" s="114"/>
      <c r="S89" s="114"/>
      <c r="T89" s="145"/>
      <c r="U89" s="145"/>
      <c r="V89" s="145"/>
    </row>
    <row r="90" spans="1:22" ht="31.5" x14ac:dyDescent="0.25">
      <c r="A90" s="111"/>
      <c r="B90" s="273">
        <v>5020307000</v>
      </c>
      <c r="C90" s="274" t="s">
        <v>43</v>
      </c>
      <c r="D90" s="274"/>
      <c r="E90" s="274"/>
      <c r="F90" s="275"/>
      <c r="G90" s="114">
        <v>174620.15</v>
      </c>
      <c r="H90" s="274" t="s">
        <v>43</v>
      </c>
      <c r="I90" s="114"/>
      <c r="J90" s="114">
        <f t="shared" si="16"/>
        <v>174620.15</v>
      </c>
      <c r="K90" s="196">
        <f t="shared" si="15"/>
        <v>174620.15</v>
      </c>
      <c r="L90" s="222">
        <v>2010101000</v>
      </c>
      <c r="M90" s="114" t="s">
        <v>25</v>
      </c>
      <c r="N90" s="114">
        <f t="shared" si="17"/>
        <v>174620.15</v>
      </c>
      <c r="O90" s="114"/>
      <c r="P90" s="114"/>
      <c r="Q90" s="114">
        <f>N90*-1</f>
        <v>-174620.15</v>
      </c>
      <c r="R90" s="114"/>
      <c r="S90" s="114"/>
      <c r="T90" s="145"/>
      <c r="U90" s="145"/>
      <c r="V90" s="145"/>
    </row>
    <row r="91" spans="1:22" ht="31.5" x14ac:dyDescent="0.25">
      <c r="A91" s="111"/>
      <c r="B91" s="273">
        <v>5020399000</v>
      </c>
      <c r="C91" s="274" t="s">
        <v>33</v>
      </c>
      <c r="D91" s="274"/>
      <c r="E91" s="274"/>
      <c r="F91" s="275">
        <v>0</v>
      </c>
      <c r="G91" s="114">
        <v>-48094270.140000001</v>
      </c>
      <c r="H91" s="274" t="s">
        <v>33</v>
      </c>
      <c r="I91" s="114"/>
      <c r="J91" s="114">
        <f t="shared" si="16"/>
        <v>-48094270.140000001</v>
      </c>
      <c r="K91" s="196">
        <f t="shared" si="15"/>
        <v>-48094270.140000001</v>
      </c>
      <c r="L91" s="222">
        <v>2010101000</v>
      </c>
      <c r="M91" s="114" t="s">
        <v>25</v>
      </c>
      <c r="N91" s="114">
        <f t="shared" si="17"/>
        <v>-48094270.140000001</v>
      </c>
      <c r="O91" s="114"/>
      <c r="P91" s="114"/>
      <c r="Q91" s="114">
        <f>N91*-1</f>
        <v>48094270.140000001</v>
      </c>
      <c r="R91" s="114"/>
      <c r="S91" s="114"/>
      <c r="T91" s="145"/>
      <c r="U91" s="145"/>
      <c r="V91" s="145"/>
    </row>
    <row r="92" spans="1:22" x14ac:dyDescent="0.25">
      <c r="A92" s="111"/>
      <c r="B92" s="273">
        <v>5021601000</v>
      </c>
      <c r="C92" s="274" t="s">
        <v>50</v>
      </c>
      <c r="D92" s="274"/>
      <c r="E92" s="274"/>
      <c r="F92" s="275"/>
      <c r="G92" s="114">
        <v>9774.39</v>
      </c>
      <c r="H92" s="274" t="s">
        <v>50</v>
      </c>
      <c r="I92" s="114"/>
      <c r="J92" s="114">
        <f t="shared" si="16"/>
        <v>9774.39</v>
      </c>
      <c r="K92" s="196">
        <f t="shared" si="15"/>
        <v>9774.39</v>
      </c>
      <c r="L92" s="222">
        <v>2010101000</v>
      </c>
      <c r="M92" s="114" t="s">
        <v>25</v>
      </c>
      <c r="N92" s="114">
        <f t="shared" si="17"/>
        <v>9774.39</v>
      </c>
      <c r="O92" s="114"/>
      <c r="P92" s="114"/>
      <c r="Q92" s="114">
        <f>N92*-1</f>
        <v>-9774.39</v>
      </c>
      <c r="R92" s="114"/>
      <c r="S92" s="114"/>
      <c r="T92" s="145"/>
      <c r="U92" s="145"/>
      <c r="V92" s="145"/>
    </row>
    <row r="93" spans="1:22" s="318" customFormat="1" ht="31.5" x14ac:dyDescent="0.25">
      <c r="A93" s="278"/>
      <c r="B93" s="271"/>
      <c r="C93" s="272" t="s">
        <v>58</v>
      </c>
      <c r="D93" s="272"/>
      <c r="E93" s="272"/>
      <c r="F93" s="275"/>
      <c r="G93" s="120"/>
      <c r="H93" s="121"/>
      <c r="I93" s="120"/>
      <c r="J93" s="120"/>
      <c r="K93" s="198"/>
      <c r="L93" s="221"/>
      <c r="M93" s="121"/>
      <c r="N93" s="120"/>
      <c r="O93" s="120"/>
      <c r="P93" s="120"/>
      <c r="Q93" s="120"/>
      <c r="R93" s="120"/>
      <c r="S93" s="120"/>
      <c r="T93" s="317"/>
      <c r="U93" s="317"/>
      <c r="V93" s="317"/>
    </row>
    <row r="94" spans="1:22" x14ac:dyDescent="0.25">
      <c r="A94" s="111"/>
      <c r="B94" s="273">
        <v>5021499000</v>
      </c>
      <c r="C94" s="274" t="s">
        <v>441</v>
      </c>
      <c r="D94" s="274"/>
      <c r="E94" s="274"/>
      <c r="F94" s="275"/>
      <c r="G94" s="129">
        <f>-309835072.21+'WORKING PAPER FC1'!AV18+'WORKING PAPER FC1'!AZ10+'WORKING PAPER FC1'!BD17+'WORKING PAPER FC1'!BD18+'WORKING PAPER FC1'!BH3+'WORKING PAPER FC1'!BH4+'WORKING PAPER FC1'!BL8+'WORKING PAPER FC1'!BP7</f>
        <v>-297065971.89999992</v>
      </c>
      <c r="H94" s="128" t="s">
        <v>34</v>
      </c>
      <c r="I94" s="114">
        <f>G94*-1</f>
        <v>297065971.89999992</v>
      </c>
      <c r="J94" s="114"/>
      <c r="K94" s="196">
        <f t="shared" ref="K94:K98" si="18">G94</f>
        <v>-297065971.89999992</v>
      </c>
      <c r="L94" s="382">
        <v>1030303000</v>
      </c>
      <c r="M94" s="125" t="s">
        <v>60</v>
      </c>
      <c r="N94" s="114"/>
      <c r="O94" s="114">
        <f>I94</f>
        <v>297065971.89999992</v>
      </c>
      <c r="P94" s="114">
        <f>-O94-N94</f>
        <v>-297065971.89999992</v>
      </c>
      <c r="Q94" s="114">
        <f>N94</f>
        <v>0</v>
      </c>
      <c r="R94" s="114"/>
      <c r="S94" s="114"/>
      <c r="T94" s="145"/>
      <c r="U94" s="145"/>
      <c r="V94" s="145"/>
    </row>
    <row r="95" spans="1:22" ht="31.5" x14ac:dyDescent="0.25">
      <c r="A95" s="111"/>
      <c r="B95" s="273">
        <v>3010101000</v>
      </c>
      <c r="C95" s="274" t="s">
        <v>442</v>
      </c>
      <c r="D95" s="274"/>
      <c r="E95" s="274"/>
      <c r="F95" s="275"/>
      <c r="G95" s="129">
        <f>21720897.24+'WORKING PAPER FC1'!BP16</f>
        <v>21610980.209999997</v>
      </c>
      <c r="H95" s="128" t="s">
        <v>34</v>
      </c>
      <c r="I95" s="114"/>
      <c r="J95" s="114"/>
      <c r="K95" s="196"/>
      <c r="L95" s="382">
        <v>1030303000</v>
      </c>
      <c r="M95" s="125" t="s">
        <v>60</v>
      </c>
      <c r="N95" s="114">
        <f>G95</f>
        <v>21610980.209999997</v>
      </c>
      <c r="O95" s="114"/>
      <c r="P95" s="114">
        <f>-O95+N95</f>
        <v>21610980.209999997</v>
      </c>
      <c r="Q95" s="114"/>
      <c r="R95" s="114"/>
      <c r="S95" s="114">
        <f>P95</f>
        <v>21610980.209999997</v>
      </c>
      <c r="T95" s="145"/>
      <c r="U95" s="145"/>
      <c r="V95" s="145"/>
    </row>
    <row r="96" spans="1:22" x14ac:dyDescent="0.25">
      <c r="A96" s="111"/>
      <c r="B96" s="273">
        <v>5021499000</v>
      </c>
      <c r="C96" s="274" t="s">
        <v>61</v>
      </c>
      <c r="D96" s="274"/>
      <c r="E96" s="274"/>
      <c r="F96" s="275"/>
      <c r="G96" s="129">
        <v>-30640800</v>
      </c>
      <c r="H96" s="128" t="s">
        <v>34</v>
      </c>
      <c r="I96" s="114">
        <f>G96*-1</f>
        <v>30640800</v>
      </c>
      <c r="J96" s="114"/>
      <c r="K96" s="196">
        <f t="shared" si="18"/>
        <v>-30640800</v>
      </c>
      <c r="L96" s="222">
        <v>1990103000</v>
      </c>
      <c r="M96" s="125" t="s">
        <v>62</v>
      </c>
      <c r="N96" s="114"/>
      <c r="O96" s="114">
        <f t="shared" ref="O96:O100" si="19">I96</f>
        <v>30640800</v>
      </c>
      <c r="P96" s="114">
        <f>-O96</f>
        <v>-30640800</v>
      </c>
      <c r="Q96" s="114"/>
      <c r="R96" s="114"/>
      <c r="S96" s="114"/>
      <c r="T96" s="145"/>
      <c r="U96" s="145"/>
      <c r="V96" s="145"/>
    </row>
    <row r="97" spans="1:22" x14ac:dyDescent="0.25">
      <c r="A97" s="111"/>
      <c r="B97" s="273">
        <v>5021499000</v>
      </c>
      <c r="C97" s="274" t="s">
        <v>440</v>
      </c>
      <c r="D97" s="274"/>
      <c r="E97" s="274"/>
      <c r="F97" s="275"/>
      <c r="G97" s="129">
        <f>-99646.95+'WORKING PAPER FC1'!AZ22</f>
        <v>-149699.16</v>
      </c>
      <c r="H97" s="128" t="s">
        <v>34</v>
      </c>
      <c r="I97" s="114">
        <f>G97*-1</f>
        <v>149699.16</v>
      </c>
      <c r="J97" s="114"/>
      <c r="K97" s="196">
        <f t="shared" si="18"/>
        <v>-149699.16</v>
      </c>
      <c r="L97" s="222">
        <v>1010102000</v>
      </c>
      <c r="M97" s="125" t="s">
        <v>64</v>
      </c>
      <c r="N97" s="114"/>
      <c r="O97" s="114">
        <f t="shared" si="19"/>
        <v>149699.16</v>
      </c>
      <c r="P97" s="114">
        <f>-O97</f>
        <v>-149699.16</v>
      </c>
      <c r="Q97" s="114"/>
      <c r="R97" s="114"/>
      <c r="S97" s="114"/>
      <c r="T97" s="145"/>
      <c r="U97" s="145"/>
      <c r="V97" s="145"/>
    </row>
    <row r="98" spans="1:22" ht="31.5" x14ac:dyDescent="0.25">
      <c r="A98" s="111"/>
      <c r="B98" s="273">
        <v>5029999099</v>
      </c>
      <c r="C98" s="274" t="s">
        <v>440</v>
      </c>
      <c r="D98" s="274"/>
      <c r="E98" s="274"/>
      <c r="F98" s="275"/>
      <c r="G98" s="129">
        <f>-144782.52+'WORKING PAPER FC1'!AV14</f>
        <v>-194770.07</v>
      </c>
      <c r="H98" s="128" t="s">
        <v>360</v>
      </c>
      <c r="I98" s="114"/>
      <c r="J98" s="114">
        <f>G98</f>
        <v>-194770.07</v>
      </c>
      <c r="K98" s="196">
        <f t="shared" si="18"/>
        <v>-194770.07</v>
      </c>
      <c r="L98" s="222">
        <v>1010102000</v>
      </c>
      <c r="M98" s="125" t="s">
        <v>64</v>
      </c>
      <c r="N98" s="114">
        <f>G98</f>
        <v>-194770.07</v>
      </c>
      <c r="O98" s="114"/>
      <c r="P98" s="114">
        <f>N98</f>
        <v>-194770.07</v>
      </c>
      <c r="Q98" s="114"/>
      <c r="R98" s="114"/>
      <c r="S98" s="114"/>
      <c r="T98" s="145"/>
      <c r="U98" s="145"/>
      <c r="V98" s="145"/>
    </row>
    <row r="99" spans="1:22" hidden="1" x14ac:dyDescent="0.25">
      <c r="A99" s="111"/>
      <c r="B99" s="273">
        <v>5021601000</v>
      </c>
      <c r="C99" s="274" t="s">
        <v>65</v>
      </c>
      <c r="D99" s="274"/>
      <c r="E99" s="274"/>
      <c r="F99" s="275"/>
      <c r="G99" s="129"/>
      <c r="H99" s="128" t="s">
        <v>50</v>
      </c>
      <c r="I99" s="114"/>
      <c r="J99" s="114"/>
      <c r="K99" s="196">
        <f>-I99-J99</f>
        <v>0</v>
      </c>
      <c r="L99" s="222">
        <v>1990102000</v>
      </c>
      <c r="M99" s="125" t="s">
        <v>66</v>
      </c>
      <c r="N99" s="114">
        <f>J99</f>
        <v>0</v>
      </c>
      <c r="O99" s="114">
        <f t="shared" si="19"/>
        <v>0</v>
      </c>
      <c r="P99" s="114">
        <f>-(O99+N99)</f>
        <v>0</v>
      </c>
      <c r="Q99" s="114"/>
      <c r="R99" s="114"/>
      <c r="S99" s="114"/>
      <c r="T99" s="145"/>
      <c r="U99" s="145"/>
      <c r="V99" s="145"/>
    </row>
    <row r="100" spans="1:22" hidden="1" x14ac:dyDescent="0.25">
      <c r="A100" s="111"/>
      <c r="B100" s="273">
        <v>5021499000</v>
      </c>
      <c r="C100" s="274" t="s">
        <v>263</v>
      </c>
      <c r="D100" s="274"/>
      <c r="E100" s="274"/>
      <c r="F100" s="275"/>
      <c r="G100" s="129"/>
      <c r="H100" s="128" t="s">
        <v>34</v>
      </c>
      <c r="I100" s="114"/>
      <c r="J100" s="114"/>
      <c r="K100" s="196">
        <f>-I100-J100</f>
        <v>0</v>
      </c>
      <c r="L100" s="222">
        <v>1039999000</v>
      </c>
      <c r="M100" s="125" t="s">
        <v>168</v>
      </c>
      <c r="N100" s="114"/>
      <c r="O100" s="114">
        <f t="shared" si="19"/>
        <v>0</v>
      </c>
      <c r="P100" s="114">
        <f>-(O100+N100)</f>
        <v>0</v>
      </c>
      <c r="Q100" s="114"/>
      <c r="R100" s="114"/>
      <c r="S100" s="114"/>
      <c r="T100" s="145"/>
      <c r="U100" s="145"/>
      <c r="V100" s="145"/>
    </row>
    <row r="101" spans="1:22" ht="31.5" x14ac:dyDescent="0.25">
      <c r="A101" s="111"/>
      <c r="B101" s="273">
        <v>5021499000</v>
      </c>
      <c r="C101" s="274" t="s">
        <v>438</v>
      </c>
      <c r="D101" s="274"/>
      <c r="E101" s="274"/>
      <c r="F101" s="275"/>
      <c r="G101" s="129">
        <f>'WORKING PAPER FC1'!AV20+'WORKING PAPER FC1'!AZ15+'WORKING PAPER FC1'!BD15+'WORKING PAPER FC1'!BL11</f>
        <v>-26124531.469999999</v>
      </c>
      <c r="H101" s="128" t="s">
        <v>34</v>
      </c>
      <c r="I101" s="114"/>
      <c r="J101" s="114"/>
      <c r="K101" s="196">
        <f>-I101-J101</f>
        <v>0</v>
      </c>
      <c r="L101" s="222">
        <v>1039903000</v>
      </c>
      <c r="M101" s="125" t="s">
        <v>276</v>
      </c>
      <c r="N101" s="114"/>
      <c r="O101" s="114">
        <f>G101*-1</f>
        <v>26124531.469999999</v>
      </c>
      <c r="P101" s="114">
        <f>-(O101+N101)</f>
        <v>-26124531.469999999</v>
      </c>
      <c r="Q101" s="114"/>
      <c r="R101" s="114"/>
      <c r="S101" s="114">
        <f>P101</f>
        <v>-26124531.469999999</v>
      </c>
      <c r="T101" s="145"/>
      <c r="U101" s="145"/>
      <c r="V101" s="145"/>
    </row>
    <row r="102" spans="1:22" hidden="1" x14ac:dyDescent="0.25">
      <c r="A102" s="111"/>
      <c r="B102" s="273">
        <v>1030301000</v>
      </c>
      <c r="C102" s="274" t="s">
        <v>262</v>
      </c>
      <c r="D102" s="274"/>
      <c r="E102" s="274"/>
      <c r="F102" s="275"/>
      <c r="G102" s="129"/>
      <c r="H102" s="128"/>
      <c r="I102" s="114"/>
      <c r="J102" s="114"/>
      <c r="K102" s="196"/>
      <c r="L102" s="222">
        <v>2020105000</v>
      </c>
      <c r="M102" s="125" t="s">
        <v>270</v>
      </c>
      <c r="N102" s="114"/>
      <c r="O102" s="114"/>
      <c r="P102" s="114"/>
      <c r="Q102" s="114">
        <f>-N102</f>
        <v>0</v>
      </c>
      <c r="R102" s="114"/>
      <c r="S102" s="114"/>
      <c r="T102" s="145"/>
      <c r="U102" s="145"/>
      <c r="V102" s="145"/>
    </row>
    <row r="103" spans="1:22" x14ac:dyDescent="0.25">
      <c r="A103" s="111"/>
      <c r="B103" s="273"/>
      <c r="C103" s="272" t="s">
        <v>70</v>
      </c>
      <c r="D103" s="272"/>
      <c r="E103" s="272"/>
      <c r="F103" s="275"/>
      <c r="G103" s="129"/>
      <c r="H103" s="128"/>
      <c r="I103" s="114"/>
      <c r="J103" s="114"/>
      <c r="K103" s="196"/>
      <c r="L103" s="222"/>
      <c r="M103" s="125"/>
      <c r="N103" s="114"/>
      <c r="O103" s="114"/>
      <c r="P103" s="114"/>
      <c r="Q103" s="114"/>
      <c r="R103" s="114"/>
      <c r="S103" s="114"/>
      <c r="T103" s="145"/>
      <c r="U103" s="145"/>
      <c r="V103" s="145"/>
    </row>
    <row r="104" spans="1:22" x14ac:dyDescent="0.25">
      <c r="A104" s="111"/>
      <c r="B104" s="273">
        <v>5021199000</v>
      </c>
      <c r="C104" s="110" t="s">
        <v>197</v>
      </c>
      <c r="D104" s="110"/>
      <c r="E104" s="110"/>
      <c r="F104" s="275"/>
      <c r="G104" s="413">
        <v>41648.33</v>
      </c>
      <c r="H104" s="110" t="s">
        <v>47</v>
      </c>
      <c r="I104" s="129"/>
      <c r="J104" s="114">
        <f>G104</f>
        <v>41648.33</v>
      </c>
      <c r="K104" s="196">
        <f>G104</f>
        <v>41648.33</v>
      </c>
      <c r="L104" s="222">
        <v>2010101000</v>
      </c>
      <c r="M104" s="125" t="s">
        <v>73</v>
      </c>
      <c r="N104" s="114">
        <f>G104</f>
        <v>41648.33</v>
      </c>
      <c r="O104" s="114"/>
      <c r="P104" s="114">
        <f>-O104</f>
        <v>0</v>
      </c>
      <c r="Q104" s="114">
        <f>-N104</f>
        <v>-41648.33</v>
      </c>
      <c r="R104" s="114"/>
      <c r="S104" s="114"/>
      <c r="T104" s="145"/>
      <c r="U104" s="145"/>
      <c r="V104" s="145"/>
    </row>
    <row r="105" spans="1:22" x14ac:dyDescent="0.25">
      <c r="A105" s="111"/>
      <c r="B105" s="273">
        <v>2010101000</v>
      </c>
      <c r="C105" s="110" t="s">
        <v>457</v>
      </c>
      <c r="D105" s="110"/>
      <c r="E105" s="110"/>
      <c r="F105" s="275"/>
      <c r="G105" s="129">
        <f>11383651.68+'WORKING PAPER FC1'!BP10</f>
        <v>13577135.779999999</v>
      </c>
      <c r="H105" s="110"/>
      <c r="I105" s="114"/>
      <c r="J105" s="114"/>
      <c r="K105" s="196">
        <f>J105-I105</f>
        <v>0</v>
      </c>
      <c r="L105" s="222">
        <v>2010101000</v>
      </c>
      <c r="M105" s="125" t="s">
        <v>73</v>
      </c>
      <c r="N105" s="114">
        <f>G105</f>
        <v>13577135.779999999</v>
      </c>
      <c r="O105" s="114">
        <f>I105</f>
        <v>0</v>
      </c>
      <c r="P105" s="114"/>
      <c r="Q105" s="114">
        <f>-N105</f>
        <v>-13577135.779999999</v>
      </c>
      <c r="R105" s="114"/>
      <c r="S105" s="114">
        <f>G105</f>
        <v>13577135.779999999</v>
      </c>
      <c r="T105" s="145"/>
      <c r="U105" s="145"/>
      <c r="V105" s="145"/>
    </row>
    <row r="106" spans="1:22" hidden="1" x14ac:dyDescent="0.25">
      <c r="A106" s="111"/>
      <c r="B106" s="273"/>
      <c r="C106" s="110" t="s">
        <v>195</v>
      </c>
      <c r="D106" s="110"/>
      <c r="E106" s="110"/>
      <c r="F106" s="275"/>
      <c r="G106" s="129"/>
      <c r="H106" s="110"/>
      <c r="I106" s="129"/>
      <c r="J106" s="114"/>
      <c r="K106" s="196"/>
      <c r="L106" s="222">
        <v>1060601000</v>
      </c>
      <c r="M106" s="125" t="s">
        <v>72</v>
      </c>
      <c r="N106" s="114"/>
      <c r="O106" s="114"/>
      <c r="P106" s="114">
        <f t="shared" ref="P106:P110" si="20">N106</f>
        <v>0</v>
      </c>
      <c r="Q106" s="114"/>
      <c r="R106" s="114"/>
      <c r="S106" s="114"/>
      <c r="T106" s="145"/>
      <c r="U106" s="145"/>
      <c r="V106" s="145"/>
    </row>
    <row r="107" spans="1:22" hidden="1" x14ac:dyDescent="0.25">
      <c r="A107" s="111"/>
      <c r="B107" s="273"/>
      <c r="C107" s="110" t="s">
        <v>294</v>
      </c>
      <c r="D107" s="110"/>
      <c r="E107" s="110"/>
      <c r="F107" s="275"/>
      <c r="G107" s="129"/>
      <c r="H107" s="110" t="s">
        <v>53</v>
      </c>
      <c r="I107" s="114"/>
      <c r="J107" s="114"/>
      <c r="K107" s="196">
        <f>G107</f>
        <v>0</v>
      </c>
      <c r="L107" s="222"/>
      <c r="M107" s="110" t="s">
        <v>335</v>
      </c>
      <c r="N107" s="114"/>
      <c r="O107" s="114"/>
      <c r="P107" s="114"/>
      <c r="Q107" s="114"/>
      <c r="R107" s="114"/>
      <c r="S107" s="114"/>
      <c r="T107" s="145"/>
      <c r="U107" s="145"/>
      <c r="V107" s="145"/>
    </row>
    <row r="108" spans="1:22" hidden="1" x14ac:dyDescent="0.25">
      <c r="A108" s="111"/>
      <c r="B108" s="273"/>
      <c r="C108" s="110" t="s">
        <v>294</v>
      </c>
      <c r="D108" s="110"/>
      <c r="E108" s="110"/>
      <c r="F108" s="275"/>
      <c r="G108" s="129"/>
      <c r="H108" s="110" t="s">
        <v>334</v>
      </c>
      <c r="I108" s="114"/>
      <c r="J108" s="114"/>
      <c r="K108" s="196">
        <f>G108</f>
        <v>0</v>
      </c>
      <c r="L108" s="222"/>
      <c r="M108" s="110" t="s">
        <v>336</v>
      </c>
      <c r="N108" s="114"/>
      <c r="O108" s="114"/>
      <c r="P108" s="114">
        <f>G108</f>
        <v>0</v>
      </c>
      <c r="Q108" s="114"/>
      <c r="R108" s="114"/>
      <c r="S108" s="114"/>
      <c r="T108" s="145"/>
      <c r="U108" s="145"/>
      <c r="V108" s="145"/>
    </row>
    <row r="109" spans="1:22" hidden="1" x14ac:dyDescent="0.25">
      <c r="A109" s="111"/>
      <c r="B109" s="273"/>
      <c r="C109" s="110" t="s">
        <v>294</v>
      </c>
      <c r="D109" s="110"/>
      <c r="E109" s="110"/>
      <c r="F109" s="275"/>
      <c r="G109" s="129"/>
      <c r="H109" s="110"/>
      <c r="I109" s="129"/>
      <c r="J109" s="114"/>
      <c r="K109" s="196"/>
      <c r="L109" s="222"/>
      <c r="M109" s="125"/>
      <c r="N109" s="114"/>
      <c r="O109" s="114"/>
      <c r="P109" s="114"/>
      <c r="Q109" s="114"/>
      <c r="R109" s="114"/>
      <c r="S109" s="114"/>
      <c r="T109" s="145"/>
      <c r="U109" s="145"/>
      <c r="V109" s="145"/>
    </row>
    <row r="110" spans="1:22" hidden="1" x14ac:dyDescent="0.25">
      <c r="A110" s="111"/>
      <c r="B110" s="273">
        <v>5021499000</v>
      </c>
      <c r="C110" s="110" t="s">
        <v>198</v>
      </c>
      <c r="D110" s="110"/>
      <c r="E110" s="110"/>
      <c r="F110" s="275"/>
      <c r="G110" s="129"/>
      <c r="H110" s="110" t="s">
        <v>34</v>
      </c>
      <c r="I110" s="114"/>
      <c r="J110" s="114"/>
      <c r="K110" s="196">
        <f>G110</f>
        <v>0</v>
      </c>
      <c r="L110" s="222">
        <v>2010101000</v>
      </c>
      <c r="M110" s="125" t="s">
        <v>25</v>
      </c>
      <c r="N110" s="114"/>
      <c r="O110" s="114">
        <f>I110</f>
        <v>0</v>
      </c>
      <c r="P110" s="114">
        <f t="shared" si="20"/>
        <v>0</v>
      </c>
      <c r="Q110" s="114">
        <f>O110</f>
        <v>0</v>
      </c>
      <c r="R110" s="114"/>
      <c r="S110" s="114"/>
      <c r="T110" s="145"/>
      <c r="U110" s="145"/>
      <c r="V110" s="145"/>
    </row>
    <row r="111" spans="1:22" ht="47.25" hidden="1" x14ac:dyDescent="0.25">
      <c r="A111" s="111"/>
      <c r="B111" s="273">
        <v>2010101000</v>
      </c>
      <c r="C111" s="110" t="s">
        <v>280</v>
      </c>
      <c r="D111" s="110"/>
      <c r="E111" s="110"/>
      <c r="F111" s="275"/>
      <c r="G111" s="129"/>
      <c r="H111" s="110"/>
      <c r="I111" s="114"/>
      <c r="J111" s="114"/>
      <c r="K111" s="196"/>
      <c r="L111" s="222">
        <v>2010101000</v>
      </c>
      <c r="M111" s="125" t="s">
        <v>25</v>
      </c>
      <c r="N111" s="114">
        <f>G111</f>
        <v>0</v>
      </c>
      <c r="O111" s="114"/>
      <c r="P111" s="114"/>
      <c r="Q111" s="114">
        <f>N111*-1</f>
        <v>0</v>
      </c>
      <c r="R111" s="114"/>
      <c r="S111" s="114">
        <f>+N111</f>
        <v>0</v>
      </c>
      <c r="T111" s="145"/>
      <c r="U111" s="145"/>
      <c r="V111" s="145"/>
    </row>
    <row r="112" spans="1:22" hidden="1" x14ac:dyDescent="0.25">
      <c r="A112" s="111"/>
      <c r="B112" s="273">
        <v>4069999000</v>
      </c>
      <c r="C112" s="110" t="s">
        <v>212</v>
      </c>
      <c r="D112" s="110"/>
      <c r="E112" s="110"/>
      <c r="F112" s="275">
        <f>IFERROR(VLOOKUP(B112,'WORKING PAPER FC1'!$I$11:$J$12,2,FALSE),0)</f>
        <v>0</v>
      </c>
      <c r="G112" s="129"/>
      <c r="H112" s="110"/>
      <c r="I112" s="114"/>
      <c r="J112" s="114"/>
      <c r="K112" s="196"/>
      <c r="L112" s="222">
        <v>1010202016</v>
      </c>
      <c r="M112" s="125" t="s">
        <v>173</v>
      </c>
      <c r="N112" s="114"/>
      <c r="O112" s="114">
        <f>G112*-1</f>
        <v>0</v>
      </c>
      <c r="P112" s="114">
        <f>-O112</f>
        <v>0</v>
      </c>
      <c r="Q112" s="114"/>
      <c r="R112" s="114"/>
      <c r="S112" s="114"/>
      <c r="T112" s="145"/>
      <c r="U112" s="145"/>
      <c r="V112" s="145"/>
    </row>
    <row r="113" spans="1:22" ht="31.5" hidden="1" x14ac:dyDescent="0.25">
      <c r="A113" s="111"/>
      <c r="B113" s="273">
        <v>2020102001</v>
      </c>
      <c r="C113" s="110" t="s">
        <v>232</v>
      </c>
      <c r="D113" s="110"/>
      <c r="E113" s="110"/>
      <c r="F113" s="275">
        <f>IFERROR(VLOOKUP(B113,'WORKING PAPER FC1'!$I$11:$J$12,2,FALSE),0)</f>
        <v>0</v>
      </c>
      <c r="G113" s="129"/>
      <c r="H113" s="110" t="s">
        <v>230</v>
      </c>
      <c r="I113" s="114">
        <f>G113</f>
        <v>0</v>
      </c>
      <c r="J113" s="114"/>
      <c r="K113" s="196">
        <f>-I113</f>
        <v>0</v>
      </c>
      <c r="L113" s="222">
        <v>5010102000</v>
      </c>
      <c r="M113" s="125" t="s">
        <v>231</v>
      </c>
      <c r="N113" s="114"/>
      <c r="O113" s="114">
        <f>G113</f>
        <v>0</v>
      </c>
      <c r="P113" s="114"/>
      <c r="Q113" s="114">
        <f>-O113</f>
        <v>0</v>
      </c>
      <c r="R113" s="114"/>
      <c r="S113" s="114"/>
      <c r="T113" s="145"/>
      <c r="U113" s="145"/>
      <c r="V113" s="145"/>
    </row>
    <row r="114" spans="1:22" ht="31.5" hidden="1" x14ac:dyDescent="0.25">
      <c r="A114" s="111"/>
      <c r="B114" s="273">
        <v>2020103002</v>
      </c>
      <c r="C114" s="110" t="s">
        <v>279</v>
      </c>
      <c r="D114" s="110"/>
      <c r="E114" s="110"/>
      <c r="F114" s="275"/>
      <c r="G114" s="129"/>
      <c r="H114" s="110"/>
      <c r="I114" s="114"/>
      <c r="J114" s="114"/>
      <c r="K114" s="196"/>
      <c r="L114" s="222">
        <v>2020103002</v>
      </c>
      <c r="M114" s="110" t="s">
        <v>234</v>
      </c>
      <c r="N114" s="114">
        <f>G114</f>
        <v>0</v>
      </c>
      <c r="O114" s="114"/>
      <c r="P114" s="114"/>
      <c r="Q114" s="114">
        <f>-N114</f>
        <v>0</v>
      </c>
      <c r="R114" s="114"/>
      <c r="S114" s="114"/>
      <c r="T114" s="145"/>
      <c r="U114" s="145"/>
      <c r="V114" s="145"/>
    </row>
    <row r="115" spans="1:22" ht="31.5" hidden="1" x14ac:dyDescent="0.25">
      <c r="A115" s="111"/>
      <c r="B115" s="273">
        <v>2020103002</v>
      </c>
      <c r="C115" s="110" t="s">
        <v>233</v>
      </c>
      <c r="D115" s="110"/>
      <c r="E115" s="110"/>
      <c r="F115" s="275">
        <f>IFERROR(VLOOKUP(B115,'WORKING PAPER FC1'!$I$11:$J$12,2,FALSE),0)</f>
        <v>0</v>
      </c>
      <c r="G115" s="129"/>
      <c r="H115" s="110" t="s">
        <v>234</v>
      </c>
      <c r="I115" s="114"/>
      <c r="J115" s="114"/>
      <c r="K115" s="196">
        <f>-G115</f>
        <v>0</v>
      </c>
      <c r="L115" s="222">
        <v>5010102000</v>
      </c>
      <c r="M115" s="125" t="s">
        <v>231</v>
      </c>
      <c r="N115" s="114"/>
      <c r="O115" s="114">
        <f>G115</f>
        <v>0</v>
      </c>
      <c r="P115" s="114"/>
      <c r="Q115" s="114">
        <f>-O115</f>
        <v>0</v>
      </c>
      <c r="R115" s="114"/>
      <c r="S115" s="114"/>
      <c r="T115" s="145"/>
      <c r="U115" s="145"/>
      <c r="V115" s="145"/>
    </row>
    <row r="116" spans="1:22" hidden="1" x14ac:dyDescent="0.25">
      <c r="A116" s="111"/>
      <c r="B116" s="273">
        <v>2020103001</v>
      </c>
      <c r="C116" s="110" t="s">
        <v>235</v>
      </c>
      <c r="D116" s="110"/>
      <c r="E116" s="110"/>
      <c r="F116" s="275">
        <f>IFERROR(VLOOKUP(B116,'WORKING PAPER FC1'!$I$11:$J$12,2,FALSE),0)</f>
        <v>0</v>
      </c>
      <c r="G116" s="129"/>
      <c r="H116" s="110" t="s">
        <v>236</v>
      </c>
      <c r="I116" s="114"/>
      <c r="J116" s="114"/>
      <c r="K116" s="196">
        <f>-G116</f>
        <v>0</v>
      </c>
      <c r="L116" s="222">
        <v>5010102000</v>
      </c>
      <c r="M116" s="125" t="s">
        <v>231</v>
      </c>
      <c r="N116" s="114"/>
      <c r="O116" s="114">
        <f>G116</f>
        <v>0</v>
      </c>
      <c r="P116" s="114"/>
      <c r="Q116" s="114">
        <f>-O116</f>
        <v>0</v>
      </c>
      <c r="R116" s="114"/>
      <c r="S116" s="114"/>
      <c r="T116" s="145"/>
      <c r="U116" s="145"/>
      <c r="V116" s="145"/>
    </row>
    <row r="117" spans="1:22" hidden="1" x14ac:dyDescent="0.25">
      <c r="A117" s="111"/>
      <c r="B117" s="273">
        <v>2020103001</v>
      </c>
      <c r="C117" s="110" t="s">
        <v>237</v>
      </c>
      <c r="D117" s="110"/>
      <c r="E117" s="110"/>
      <c r="F117" s="275">
        <f>IFERROR(VLOOKUP(B117,'WORKING PAPER FC1'!$I$11:$J$12,2,FALSE),0)</f>
        <v>0</v>
      </c>
      <c r="G117" s="129"/>
      <c r="H117" s="110" t="s">
        <v>236</v>
      </c>
      <c r="I117" s="114"/>
      <c r="J117" s="114"/>
      <c r="K117" s="196">
        <f>-G117</f>
        <v>0</v>
      </c>
      <c r="L117" s="222">
        <v>5010302001</v>
      </c>
      <c r="M117" s="125" t="s">
        <v>238</v>
      </c>
      <c r="N117" s="114"/>
      <c r="O117" s="114">
        <f>G117</f>
        <v>0</v>
      </c>
      <c r="P117" s="114"/>
      <c r="Q117" s="114">
        <f>-O117</f>
        <v>0</v>
      </c>
      <c r="R117" s="114"/>
      <c r="S117" s="114"/>
      <c r="T117" s="145"/>
      <c r="U117" s="145"/>
      <c r="V117" s="145"/>
    </row>
    <row r="118" spans="1:22" ht="31.5" hidden="1" x14ac:dyDescent="0.25">
      <c r="A118" s="111"/>
      <c r="B118" s="273">
        <v>2020104000</v>
      </c>
      <c r="C118" s="110" t="s">
        <v>239</v>
      </c>
      <c r="D118" s="110"/>
      <c r="E118" s="110"/>
      <c r="F118" s="275">
        <f>IFERROR(VLOOKUP(B118,'WORKING PAPER FC1'!$I$11:$J$12,2,FALSE),0)</f>
        <v>0</v>
      </c>
      <c r="G118" s="129"/>
      <c r="H118" s="110" t="s">
        <v>240</v>
      </c>
      <c r="I118" s="114"/>
      <c r="J118" s="114"/>
      <c r="K118" s="196">
        <f>-G118</f>
        <v>0</v>
      </c>
      <c r="L118" s="222">
        <v>5010102000</v>
      </c>
      <c r="M118" s="125" t="s">
        <v>231</v>
      </c>
      <c r="N118" s="114"/>
      <c r="O118" s="114">
        <f>G118</f>
        <v>0</v>
      </c>
      <c r="P118" s="114"/>
      <c r="Q118" s="114">
        <f>-O118</f>
        <v>0</v>
      </c>
      <c r="R118" s="114"/>
      <c r="S118" s="114"/>
      <c r="T118" s="145"/>
      <c r="U118" s="145"/>
      <c r="V118" s="145"/>
    </row>
    <row r="119" spans="1:22" hidden="1" x14ac:dyDescent="0.25">
      <c r="A119" s="111"/>
      <c r="B119" s="273">
        <v>5030104000</v>
      </c>
      <c r="C119" s="110" t="s">
        <v>264</v>
      </c>
      <c r="D119" s="110"/>
      <c r="E119" s="110"/>
      <c r="F119" s="275"/>
      <c r="G119" s="129"/>
      <c r="H119" s="110"/>
      <c r="I119" s="114"/>
      <c r="J119" s="114"/>
      <c r="K119" s="196"/>
      <c r="L119" s="222">
        <v>1010202024</v>
      </c>
      <c r="M119" s="125" t="s">
        <v>265</v>
      </c>
      <c r="N119" s="114"/>
      <c r="O119" s="114"/>
      <c r="P119" s="114"/>
      <c r="Q119" s="114">
        <f>-O119</f>
        <v>0</v>
      </c>
      <c r="R119" s="114"/>
      <c r="S119" s="114"/>
      <c r="T119" s="145"/>
      <c r="U119" s="145"/>
      <c r="V119" s="145"/>
    </row>
    <row r="120" spans="1:22" ht="31.5" hidden="1" x14ac:dyDescent="0.25">
      <c r="A120" s="111"/>
      <c r="B120" s="273">
        <v>1039903000</v>
      </c>
      <c r="C120" s="110" t="s">
        <v>273</v>
      </c>
      <c r="D120" s="110"/>
      <c r="E120" s="110"/>
      <c r="F120" s="275"/>
      <c r="G120" s="129"/>
      <c r="H120" s="110" t="s">
        <v>34</v>
      </c>
      <c r="I120" s="114"/>
      <c r="J120" s="114"/>
      <c r="K120" s="196">
        <f>G120</f>
        <v>0</v>
      </c>
      <c r="L120" s="273">
        <v>1039903000</v>
      </c>
      <c r="M120" s="125" t="s">
        <v>276</v>
      </c>
      <c r="N120" s="114">
        <f>G120</f>
        <v>0</v>
      </c>
      <c r="O120" s="114"/>
      <c r="P120" s="114">
        <f>N120</f>
        <v>0</v>
      </c>
      <c r="Q120" s="114"/>
      <c r="R120" s="114"/>
      <c r="S120" s="114"/>
      <c r="T120" s="145"/>
      <c r="U120" s="145"/>
      <c r="V120" s="145"/>
    </row>
    <row r="121" spans="1:22" ht="31.5" hidden="1" x14ac:dyDescent="0.25">
      <c r="A121" s="330"/>
      <c r="B121" s="331">
        <v>1990202000</v>
      </c>
      <c r="C121" s="332" t="s">
        <v>274</v>
      </c>
      <c r="D121" s="332"/>
      <c r="E121" s="332"/>
      <c r="F121" s="332"/>
      <c r="G121" s="333"/>
      <c r="H121" s="332" t="s">
        <v>221</v>
      </c>
      <c r="I121" s="334"/>
      <c r="J121" s="334"/>
      <c r="K121" s="196">
        <f>G121</f>
        <v>0</v>
      </c>
      <c r="L121" s="331">
        <v>1990202000</v>
      </c>
      <c r="M121" s="335" t="s">
        <v>275</v>
      </c>
      <c r="N121" s="334">
        <f>G121</f>
        <v>0</v>
      </c>
      <c r="O121" s="334"/>
      <c r="P121" s="334">
        <f>N121</f>
        <v>0</v>
      </c>
      <c r="Q121" s="334"/>
      <c r="R121" s="114"/>
      <c r="S121" s="114"/>
      <c r="T121" s="145"/>
      <c r="U121" s="145"/>
      <c r="V121" s="145"/>
    </row>
    <row r="122" spans="1:22" ht="47.25" hidden="1" x14ac:dyDescent="0.25">
      <c r="A122" s="111"/>
      <c r="B122" s="273">
        <v>2040104000</v>
      </c>
      <c r="C122" s="110" t="s">
        <v>290</v>
      </c>
      <c r="D122" s="110"/>
      <c r="E122" s="110"/>
      <c r="F122" s="110"/>
      <c r="G122" s="129"/>
      <c r="H122" s="110" t="s">
        <v>291</v>
      </c>
      <c r="I122" s="114"/>
      <c r="J122" s="114"/>
      <c r="K122" s="196">
        <v>-8699.83</v>
      </c>
      <c r="L122" s="273">
        <v>2040104000</v>
      </c>
      <c r="M122" s="125" t="s">
        <v>292</v>
      </c>
      <c r="N122" s="114"/>
      <c r="O122" s="114"/>
      <c r="P122" s="114"/>
      <c r="Q122" s="114">
        <f>O122</f>
        <v>0</v>
      </c>
      <c r="R122" s="114"/>
      <c r="S122" s="114"/>
      <c r="T122" s="145"/>
      <c r="U122" s="145"/>
      <c r="V122" s="145"/>
    </row>
    <row r="123" spans="1:22" s="289" customFormat="1" x14ac:dyDescent="0.25">
      <c r="A123" s="277" t="str">
        <f>'FC 3 2024'!A35:B35</f>
        <v>Balance as of December 31, 2024</v>
      </c>
      <c r="B123" s="378"/>
      <c r="C123" s="116"/>
      <c r="D123" s="116"/>
      <c r="E123" s="116"/>
      <c r="F123" s="116"/>
      <c r="G123" s="109">
        <f>G15+G11+G9</f>
        <v>114843770.99683332</v>
      </c>
      <c r="H123" s="117">
        <v>0</v>
      </c>
      <c r="I123" s="109"/>
      <c r="J123" s="109"/>
      <c r="K123" s="197">
        <f>K15+K11</f>
        <v>-1204258758.0591664</v>
      </c>
      <c r="L123" s="223"/>
      <c r="M123" s="109">
        <v>0</v>
      </c>
      <c r="N123" s="109"/>
      <c r="O123" s="109"/>
      <c r="P123" s="109">
        <f>P15+P11</f>
        <v>-1124691987.4831665</v>
      </c>
      <c r="Q123" s="109">
        <f>Q15+Q11</f>
        <v>76694706.609999999</v>
      </c>
      <c r="R123" s="109"/>
      <c r="S123" s="109">
        <f>SUBTOTAL(9,S18:S121)</f>
        <v>3770864.1359999981</v>
      </c>
      <c r="T123" s="282"/>
      <c r="U123" s="282"/>
      <c r="V123" s="282"/>
    </row>
    <row r="124" spans="1:22" x14ac:dyDescent="0.25">
      <c r="A124" s="279"/>
      <c r="C124" s="281"/>
      <c r="D124" s="281"/>
      <c r="E124" s="281"/>
      <c r="F124" s="281"/>
      <c r="G124" s="441">
        <f>G123-[31]FC1SGE!$J$15</f>
        <v>-3.1666755676269531E-3</v>
      </c>
      <c r="H124" s="283"/>
      <c r="M124" s="145"/>
      <c r="N124" s="145"/>
      <c r="O124" s="145"/>
      <c r="P124" s="145"/>
      <c r="Q124" s="145"/>
      <c r="R124" s="145"/>
      <c r="S124" s="145"/>
      <c r="T124" s="145"/>
      <c r="U124" s="145"/>
      <c r="V124" s="145"/>
    </row>
    <row r="125" spans="1:22" ht="31.5" x14ac:dyDescent="0.25">
      <c r="A125" s="279"/>
      <c r="C125" s="287" t="s">
        <v>74</v>
      </c>
      <c r="D125" s="287"/>
      <c r="E125" s="287"/>
      <c r="F125" s="287"/>
      <c r="G125" s="365" t="s">
        <v>357</v>
      </c>
      <c r="H125" s="287" t="s">
        <v>383</v>
      </c>
      <c r="I125" s="288"/>
      <c r="J125" s="288"/>
      <c r="M125" s="289" t="s">
        <v>384</v>
      </c>
      <c r="N125" s="145"/>
      <c r="O125" s="145"/>
      <c r="P125" s="145"/>
      <c r="Q125" s="290"/>
      <c r="R125" s="289" t="s">
        <v>77</v>
      </c>
      <c r="S125" s="145"/>
      <c r="T125" s="145"/>
      <c r="U125" s="145"/>
      <c r="V125" s="145"/>
    </row>
    <row r="126" spans="1:22" x14ac:dyDescent="0.25">
      <c r="C126" s="291" t="s">
        <v>78</v>
      </c>
      <c r="D126" s="291"/>
      <c r="E126" s="291"/>
      <c r="F126" s="291"/>
      <c r="G126" s="145">
        <f>G123</f>
        <v>114843770.99683332</v>
      </c>
      <c r="H126" s="283"/>
      <c r="J126" s="288"/>
      <c r="M126" s="145"/>
      <c r="N126" s="292" t="s">
        <v>79</v>
      </c>
      <c r="O126" s="293"/>
      <c r="P126" s="145">
        <f>P123</f>
        <v>-1124691987.4831665</v>
      </c>
      <c r="Q126" s="145"/>
      <c r="R126" s="145"/>
      <c r="S126" s="145"/>
      <c r="T126" s="145"/>
      <c r="U126" s="145"/>
      <c r="V126" s="145"/>
    </row>
    <row r="127" spans="1:22" x14ac:dyDescent="0.25">
      <c r="C127" s="291" t="s">
        <v>80</v>
      </c>
      <c r="D127" s="291"/>
      <c r="E127" s="291"/>
      <c r="F127" s="291"/>
      <c r="G127" s="145">
        <f>G9</f>
        <v>1316230465.0899999</v>
      </c>
      <c r="M127" s="145"/>
      <c r="N127" s="292" t="s">
        <v>81</v>
      </c>
      <c r="O127" s="293"/>
      <c r="P127" s="145">
        <f>Q123</f>
        <v>76694706.609999999</v>
      </c>
      <c r="Q127" s="145"/>
      <c r="R127" s="145"/>
      <c r="S127" s="145"/>
      <c r="T127" s="145"/>
      <c r="U127" s="145"/>
      <c r="V127" s="145"/>
    </row>
    <row r="128" spans="1:22" x14ac:dyDescent="0.25">
      <c r="C128" s="295" t="s">
        <v>82</v>
      </c>
      <c r="D128" s="295"/>
      <c r="E128" s="295"/>
      <c r="F128" s="295"/>
      <c r="G128" s="282">
        <f>G126-G127</f>
        <v>-1201386694.0931666</v>
      </c>
      <c r="H128" s="295" t="s">
        <v>83</v>
      </c>
      <c r="K128" s="296"/>
      <c r="L128" s="297"/>
      <c r="M128" s="145"/>
      <c r="N128" s="292" t="s">
        <v>84</v>
      </c>
      <c r="O128" s="298"/>
      <c r="P128" s="145"/>
      <c r="Q128" s="145"/>
      <c r="R128" s="282" t="s">
        <v>84</v>
      </c>
      <c r="S128" s="282">
        <f>S123</f>
        <v>3770864.1359999981</v>
      </c>
      <c r="T128" s="145"/>
      <c r="U128" s="145"/>
      <c r="V128" s="145"/>
    </row>
    <row r="129" spans="2:24" x14ac:dyDescent="0.25">
      <c r="G129" s="365" t="s">
        <v>357</v>
      </c>
      <c r="H129" s="299"/>
      <c r="M129" s="145"/>
      <c r="N129" s="300" t="s">
        <v>85</v>
      </c>
      <c r="O129" s="282"/>
      <c r="P129" s="282"/>
      <c r="Q129" s="282">
        <f>P126-P127+P128</f>
        <v>-1201386694.0931664</v>
      </c>
      <c r="R129" s="145"/>
      <c r="S129" s="145"/>
      <c r="T129" s="145"/>
      <c r="U129" s="327"/>
      <c r="V129" s="327"/>
      <c r="W129" s="280"/>
    </row>
    <row r="130" spans="2:24" s="289" customFormat="1" ht="16.5" x14ac:dyDescent="0.3">
      <c r="B130" s="301"/>
      <c r="C130" s="287"/>
      <c r="D130" s="287"/>
      <c r="E130" s="287"/>
      <c r="F130" s="287"/>
      <c r="G130" s="366" t="s">
        <v>357</v>
      </c>
      <c r="H130" s="302"/>
      <c r="I130" s="302"/>
      <c r="J130" s="302"/>
      <c r="K130" s="296"/>
      <c r="L130" s="297"/>
      <c r="M130" s="282"/>
      <c r="N130" s="282"/>
      <c r="O130" s="282"/>
      <c r="P130" s="282"/>
      <c r="Q130" s="303">
        <f>G128-Q129</f>
        <v>0</v>
      </c>
      <c r="R130" s="282"/>
      <c r="S130" s="282"/>
      <c r="T130" s="282"/>
      <c r="U130" s="329"/>
      <c r="V130" s="329"/>
      <c r="W130" s="301"/>
    </row>
    <row r="131" spans="2:24" ht="16.5" x14ac:dyDescent="0.3">
      <c r="G131" s="365" t="s">
        <v>357</v>
      </c>
      <c r="H131" s="302"/>
      <c r="I131" s="302"/>
      <c r="J131" s="302"/>
      <c r="M131" s="145"/>
      <c r="N131" s="145"/>
      <c r="O131" s="145"/>
      <c r="P131" s="145"/>
      <c r="Q131" s="145"/>
      <c r="R131" s="320"/>
      <c r="S131" s="320"/>
      <c r="T131" s="145"/>
      <c r="U131" s="145"/>
      <c r="V131" s="145"/>
      <c r="W131" s="304"/>
      <c r="X131" s="304"/>
    </row>
    <row r="132" spans="2:24" ht="16.5" x14ac:dyDescent="0.3">
      <c r="C132" s="287" t="s">
        <v>88</v>
      </c>
      <c r="D132" s="287"/>
      <c r="E132" s="287"/>
      <c r="F132" s="287"/>
      <c r="G132" s="365" t="s">
        <v>357</v>
      </c>
      <c r="H132" s="305"/>
      <c r="I132" s="305"/>
      <c r="J132" s="305"/>
      <c r="M132" s="145"/>
      <c r="N132" s="145" t="s">
        <v>89</v>
      </c>
      <c r="O132" s="145"/>
      <c r="P132" s="145"/>
      <c r="Q132" s="145"/>
      <c r="R132" s="282"/>
      <c r="S132" s="145"/>
      <c r="T132" s="145"/>
      <c r="U132" s="282"/>
      <c r="V132" s="282"/>
      <c r="W132" s="290"/>
    </row>
    <row r="133" spans="2:24" x14ac:dyDescent="0.25">
      <c r="G133" s="383" t="s">
        <v>357</v>
      </c>
      <c r="H133" s="283"/>
      <c r="M133" s="145"/>
      <c r="N133" s="145"/>
      <c r="O133" s="145"/>
      <c r="P133" s="145"/>
      <c r="Q133" s="145"/>
      <c r="R133" s="145"/>
      <c r="S133" s="145"/>
      <c r="T133" s="145"/>
      <c r="U133" s="145"/>
      <c r="V133" s="145"/>
      <c r="W133" s="304"/>
    </row>
    <row r="134" spans="2:24" x14ac:dyDescent="0.25">
      <c r="G134" s="383" t="s">
        <v>357</v>
      </c>
      <c r="H134" s="299"/>
      <c r="I134" s="289"/>
      <c r="M134" s="145"/>
      <c r="N134" s="145"/>
      <c r="O134" s="145"/>
      <c r="P134" s="145"/>
      <c r="Q134" s="145"/>
      <c r="R134" s="145"/>
      <c r="S134" s="145"/>
      <c r="T134" s="145"/>
      <c r="U134" s="145"/>
      <c r="V134" s="145"/>
    </row>
    <row r="135" spans="2:24" x14ac:dyDescent="0.25">
      <c r="C135" s="238" t="s">
        <v>208</v>
      </c>
      <c r="D135" s="238"/>
      <c r="E135" s="238"/>
      <c r="F135" s="238"/>
      <c r="G135" s="383" t="s">
        <v>357</v>
      </c>
      <c r="H135" s="283"/>
      <c r="M135" s="145"/>
      <c r="N135" s="492" t="s">
        <v>90</v>
      </c>
      <c r="O135" s="492"/>
      <c r="P135" s="492"/>
      <c r="Q135" s="145"/>
      <c r="R135" s="145"/>
      <c r="S135" s="145"/>
      <c r="T135" s="145"/>
      <c r="U135" s="145"/>
      <c r="V135" s="145"/>
    </row>
    <row r="136" spans="2:24" x14ac:dyDescent="0.25">
      <c r="C136" s="306" t="s">
        <v>91</v>
      </c>
      <c r="D136" s="306"/>
      <c r="E136" s="306"/>
      <c r="F136" s="306"/>
      <c r="G136" s="383" t="s">
        <v>357</v>
      </c>
      <c r="H136" s="307"/>
      <c r="I136" s="289"/>
      <c r="M136" s="308"/>
      <c r="N136" s="489" t="s">
        <v>92</v>
      </c>
      <c r="O136" s="489"/>
      <c r="P136" s="489"/>
      <c r="Q136" s="308"/>
      <c r="R136" s="308"/>
      <c r="S136" s="308"/>
      <c r="T136" s="145"/>
      <c r="U136" s="145"/>
      <c r="V136" s="145"/>
    </row>
    <row r="138" spans="2:24" x14ac:dyDescent="0.25">
      <c r="B138" s="301"/>
      <c r="C138" s="309"/>
      <c r="D138" s="309"/>
      <c r="E138" s="309"/>
      <c r="F138" s="309"/>
    </row>
    <row r="139" spans="2:24" x14ac:dyDescent="0.25">
      <c r="B139" s="301"/>
      <c r="C139" s="309"/>
      <c r="D139" s="309"/>
      <c r="E139" s="309"/>
      <c r="F139" s="309"/>
      <c r="N139" s="310"/>
      <c r="O139" s="311"/>
      <c r="P139" s="301"/>
      <c r="Q139" s="311"/>
    </row>
    <row r="140" spans="2:24" x14ac:dyDescent="0.25">
      <c r="B140" s="301"/>
      <c r="C140" s="309"/>
      <c r="D140" s="309"/>
      <c r="E140" s="309"/>
      <c r="F140" s="309"/>
      <c r="N140" s="310"/>
      <c r="O140" s="311"/>
      <c r="P140" s="301"/>
      <c r="Q140" s="311"/>
    </row>
    <row r="141" spans="2:24" x14ac:dyDescent="0.25">
      <c r="B141" s="301"/>
      <c r="C141" s="309"/>
      <c r="D141" s="309"/>
      <c r="E141" s="309"/>
      <c r="F141" s="309"/>
      <c r="N141" s="310"/>
      <c r="O141" s="311"/>
      <c r="P141" s="301"/>
      <c r="Q141" s="311"/>
    </row>
    <row r="142" spans="2:24" x14ac:dyDescent="0.25">
      <c r="B142" s="301"/>
      <c r="C142" s="309"/>
      <c r="D142" s="309"/>
      <c r="E142" s="309"/>
      <c r="F142" s="309"/>
      <c r="N142" s="310"/>
      <c r="O142" s="311"/>
      <c r="P142" s="301"/>
      <c r="Q142" s="311"/>
    </row>
    <row r="143" spans="2:24" x14ac:dyDescent="0.25">
      <c r="B143" s="301"/>
      <c r="C143" s="309"/>
      <c r="D143" s="309"/>
      <c r="E143" s="309"/>
      <c r="F143" s="309"/>
      <c r="G143" s="284"/>
      <c r="M143" s="145"/>
      <c r="N143" s="310"/>
      <c r="O143" s="311"/>
      <c r="P143" s="301"/>
      <c r="Q143" s="311"/>
    </row>
    <row r="144" spans="2:24" x14ac:dyDescent="0.25">
      <c r="B144" s="301"/>
      <c r="C144" s="309"/>
      <c r="D144" s="309"/>
      <c r="E144" s="309"/>
      <c r="F144" s="309"/>
      <c r="G144" s="284"/>
      <c r="M144" s="145"/>
      <c r="N144" s="310"/>
      <c r="O144" s="311"/>
      <c r="P144" s="301"/>
      <c r="Q144" s="311"/>
    </row>
    <row r="145" spans="2:17" x14ac:dyDescent="0.25">
      <c r="B145" s="301"/>
      <c r="C145" s="309"/>
      <c r="D145" s="309"/>
      <c r="E145" s="309"/>
      <c r="F145" s="309"/>
      <c r="G145" s="284"/>
      <c r="M145" s="145"/>
      <c r="N145" s="310"/>
      <c r="O145" s="311"/>
      <c r="P145" s="301"/>
      <c r="Q145" s="311"/>
    </row>
    <row r="146" spans="2:17" x14ac:dyDescent="0.25">
      <c r="B146" s="301"/>
      <c r="C146" s="309"/>
      <c r="D146" s="309"/>
      <c r="E146" s="309"/>
      <c r="F146" s="309"/>
      <c r="G146" s="284"/>
      <c r="K146" s="296"/>
      <c r="M146" s="145"/>
      <c r="N146" s="310"/>
      <c r="O146" s="311"/>
      <c r="P146" s="301"/>
      <c r="Q146" s="311"/>
    </row>
    <row r="147" spans="2:17" x14ac:dyDescent="0.25">
      <c r="B147" s="301"/>
      <c r="C147" s="309"/>
      <c r="D147" s="309"/>
      <c r="E147" s="309"/>
      <c r="F147" s="309"/>
      <c r="N147" s="310"/>
      <c r="O147" s="311"/>
      <c r="P147" s="301"/>
      <c r="Q147" s="311"/>
    </row>
    <row r="148" spans="2:17" x14ac:dyDescent="0.25">
      <c r="B148" s="301"/>
      <c r="C148" s="309"/>
      <c r="D148" s="309"/>
      <c r="E148" s="309"/>
      <c r="F148" s="309"/>
      <c r="N148" s="310"/>
      <c r="O148" s="311"/>
      <c r="P148" s="301"/>
      <c r="Q148" s="311"/>
    </row>
    <row r="149" spans="2:17" x14ac:dyDescent="0.25">
      <c r="B149" s="301"/>
      <c r="C149" s="309"/>
      <c r="D149" s="309"/>
      <c r="E149" s="309"/>
      <c r="F149" s="309"/>
      <c r="N149" s="310"/>
      <c r="O149" s="311"/>
      <c r="P149" s="301"/>
      <c r="Q149" s="311"/>
    </row>
    <row r="150" spans="2:17" x14ac:dyDescent="0.25">
      <c r="B150" s="301"/>
      <c r="C150" s="309"/>
      <c r="D150" s="309"/>
      <c r="E150" s="309"/>
      <c r="F150" s="309"/>
      <c r="N150" s="310"/>
      <c r="O150" s="311"/>
      <c r="P150" s="301"/>
      <c r="Q150" s="311"/>
    </row>
    <row r="151" spans="2:17" x14ac:dyDescent="0.25">
      <c r="B151" s="301"/>
      <c r="C151" s="309"/>
      <c r="D151" s="309"/>
      <c r="E151" s="309"/>
      <c r="F151" s="309"/>
      <c r="N151" s="310"/>
      <c r="O151" s="311"/>
      <c r="P151" s="301"/>
      <c r="Q151" s="311"/>
    </row>
    <row r="152" spans="2:17" x14ac:dyDescent="0.25">
      <c r="B152" s="301"/>
      <c r="C152" s="309"/>
      <c r="D152" s="309"/>
      <c r="E152" s="309"/>
      <c r="F152" s="309"/>
      <c r="N152" s="310"/>
      <c r="O152" s="311"/>
      <c r="P152" s="301"/>
      <c r="Q152" s="311"/>
    </row>
    <row r="153" spans="2:17" x14ac:dyDescent="0.25">
      <c r="B153" s="312"/>
      <c r="C153" s="309"/>
      <c r="D153" s="309"/>
      <c r="E153" s="309"/>
      <c r="F153" s="309"/>
      <c r="N153" s="310"/>
      <c r="O153" s="311"/>
      <c r="P153" s="301"/>
      <c r="Q153" s="311"/>
    </row>
    <row r="154" spans="2:17" x14ac:dyDescent="0.25">
      <c r="B154" s="313"/>
      <c r="C154" s="309"/>
      <c r="D154" s="309"/>
      <c r="E154" s="309"/>
      <c r="F154" s="309"/>
      <c r="K154" s="296"/>
      <c r="N154" s="310"/>
      <c r="O154" s="311"/>
      <c r="P154" s="301"/>
      <c r="Q154" s="311"/>
    </row>
    <row r="155" spans="2:17" x14ac:dyDescent="0.25">
      <c r="B155" s="301"/>
      <c r="C155" s="309"/>
      <c r="D155" s="309"/>
      <c r="E155" s="309"/>
      <c r="F155" s="309"/>
      <c r="N155" s="310"/>
      <c r="O155" s="311"/>
      <c r="P155" s="301"/>
      <c r="Q155" s="311"/>
    </row>
    <row r="156" spans="2:17" x14ac:dyDescent="0.25">
      <c r="B156" s="301"/>
      <c r="C156" s="309"/>
      <c r="D156" s="309"/>
      <c r="E156" s="309"/>
      <c r="F156" s="309"/>
      <c r="K156" s="296"/>
      <c r="L156" s="314"/>
      <c r="M156" s="311"/>
      <c r="N156" s="310"/>
      <c r="O156" s="311"/>
      <c r="P156" s="301"/>
      <c r="Q156" s="311"/>
    </row>
    <row r="157" spans="2:17" x14ac:dyDescent="0.25">
      <c r="B157" s="301"/>
      <c r="C157" s="309"/>
      <c r="D157" s="309"/>
      <c r="E157" s="309"/>
      <c r="F157" s="309"/>
      <c r="J157" s="289"/>
      <c r="K157" s="296"/>
      <c r="L157" s="314"/>
      <c r="M157" s="311"/>
      <c r="N157" s="310"/>
      <c r="O157" s="311"/>
      <c r="P157" s="301"/>
      <c r="Q157" s="311"/>
    </row>
    <row r="158" spans="2:17" x14ac:dyDescent="0.25">
      <c r="B158" s="301"/>
      <c r="C158" s="309"/>
      <c r="D158" s="309"/>
      <c r="E158" s="309"/>
      <c r="F158" s="309"/>
      <c r="J158" s="289"/>
      <c r="K158" s="296"/>
      <c r="L158" s="314"/>
      <c r="M158" s="311"/>
      <c r="N158" s="310"/>
      <c r="O158" s="311"/>
      <c r="P158" s="301"/>
      <c r="Q158" s="311"/>
    </row>
    <row r="159" spans="2:17" x14ac:dyDescent="0.25">
      <c r="B159" s="301"/>
      <c r="C159" s="309"/>
      <c r="D159" s="309"/>
      <c r="E159" s="309"/>
      <c r="F159" s="309"/>
      <c r="J159" s="289"/>
      <c r="K159" s="311"/>
      <c r="L159" s="314"/>
      <c r="M159" s="311"/>
      <c r="N159" s="310"/>
      <c r="O159" s="311"/>
      <c r="P159" s="301"/>
      <c r="Q159" s="311"/>
    </row>
    <row r="160" spans="2:17" x14ac:dyDescent="0.25">
      <c r="B160" s="301"/>
      <c r="C160" s="309"/>
      <c r="D160" s="309"/>
      <c r="E160" s="309"/>
      <c r="F160" s="309"/>
      <c r="J160" s="289"/>
      <c r="K160" s="311"/>
      <c r="L160" s="314"/>
      <c r="M160" s="311"/>
      <c r="N160" s="310"/>
      <c r="O160" s="311"/>
      <c r="P160" s="301"/>
      <c r="Q160" s="311"/>
    </row>
    <row r="161" spans="2:17" x14ac:dyDescent="0.25">
      <c r="B161" s="301"/>
      <c r="C161" s="309"/>
      <c r="D161" s="309"/>
      <c r="E161" s="309"/>
      <c r="F161" s="309"/>
      <c r="J161" s="289"/>
      <c r="K161" s="296"/>
      <c r="L161" s="314"/>
      <c r="M161" s="311"/>
      <c r="N161" s="310"/>
      <c r="O161" s="311"/>
      <c r="P161" s="301"/>
      <c r="Q161" s="311"/>
    </row>
    <row r="162" spans="2:17" x14ac:dyDescent="0.25">
      <c r="B162" s="301"/>
      <c r="C162" s="309"/>
      <c r="D162" s="309"/>
      <c r="E162" s="309"/>
      <c r="F162" s="309"/>
      <c r="J162" s="289"/>
      <c r="K162" s="296"/>
      <c r="L162" s="314"/>
      <c r="M162" s="311"/>
      <c r="N162" s="301"/>
      <c r="O162" s="315"/>
      <c r="P162" s="301"/>
      <c r="Q162" s="311"/>
    </row>
    <row r="163" spans="2:17" x14ac:dyDescent="0.25">
      <c r="B163" s="301"/>
      <c r="C163" s="309"/>
      <c r="D163" s="309"/>
      <c r="E163" s="309"/>
      <c r="F163" s="309"/>
      <c r="J163" s="289"/>
      <c r="K163" s="296"/>
      <c r="L163" s="314"/>
      <c r="M163" s="311"/>
      <c r="N163" s="301"/>
      <c r="O163" s="315"/>
      <c r="P163" s="301"/>
      <c r="Q163" s="311"/>
    </row>
    <row r="164" spans="2:17" x14ac:dyDescent="0.25">
      <c r="B164" s="301"/>
      <c r="C164" s="309"/>
      <c r="D164" s="309"/>
      <c r="E164" s="309"/>
      <c r="F164" s="309"/>
      <c r="K164" s="296"/>
      <c r="L164" s="314"/>
      <c r="M164" s="311"/>
      <c r="O164" s="288"/>
      <c r="P164" s="301"/>
      <c r="Q164" s="311"/>
    </row>
    <row r="165" spans="2:17" x14ac:dyDescent="0.25">
      <c r="B165" s="301"/>
      <c r="C165" s="309"/>
      <c r="D165" s="309"/>
      <c r="E165" s="309"/>
      <c r="F165" s="309"/>
      <c r="K165" s="296"/>
      <c r="L165" s="314"/>
      <c r="M165" s="311"/>
      <c r="P165" s="301"/>
      <c r="Q165" s="311"/>
    </row>
    <row r="166" spans="2:17" x14ac:dyDescent="0.25">
      <c r="B166" s="301"/>
      <c r="C166" s="309"/>
      <c r="D166" s="309"/>
      <c r="E166" s="309"/>
      <c r="F166" s="309"/>
      <c r="K166" s="296"/>
      <c r="L166" s="314"/>
      <c r="M166" s="311"/>
      <c r="P166" s="301"/>
      <c r="Q166" s="311"/>
    </row>
    <row r="167" spans="2:17" x14ac:dyDescent="0.25">
      <c r="B167" s="301"/>
      <c r="C167" s="309"/>
      <c r="D167" s="309"/>
      <c r="E167" s="309"/>
      <c r="F167" s="309"/>
      <c r="J167" s="289"/>
      <c r="K167" s="296"/>
      <c r="L167" s="314"/>
      <c r="M167" s="311"/>
      <c r="P167" s="301"/>
      <c r="Q167" s="311"/>
    </row>
    <row r="168" spans="2:17" x14ac:dyDescent="0.25">
      <c r="B168" s="301"/>
      <c r="C168" s="309"/>
      <c r="D168" s="309"/>
      <c r="E168" s="309"/>
      <c r="F168" s="309"/>
      <c r="K168" s="296"/>
      <c r="L168" s="314"/>
      <c r="M168" s="311"/>
      <c r="P168" s="301"/>
      <c r="Q168" s="311"/>
    </row>
    <row r="169" spans="2:17" x14ac:dyDescent="0.25">
      <c r="B169" s="301"/>
      <c r="C169" s="309"/>
      <c r="D169" s="309"/>
      <c r="E169" s="309"/>
      <c r="F169" s="309"/>
      <c r="J169" s="289"/>
      <c r="K169" s="296"/>
      <c r="L169" s="314"/>
      <c r="M169" s="311"/>
      <c r="P169" s="301"/>
      <c r="Q169" s="311"/>
    </row>
    <row r="170" spans="2:17" x14ac:dyDescent="0.25">
      <c r="B170" s="301"/>
      <c r="C170" s="309"/>
      <c r="D170" s="309"/>
      <c r="E170" s="309"/>
      <c r="F170" s="309"/>
      <c r="K170" s="296"/>
      <c r="L170" s="314"/>
      <c r="M170" s="311"/>
      <c r="P170" s="301"/>
      <c r="Q170" s="311"/>
    </row>
    <row r="171" spans="2:17" x14ac:dyDescent="0.25">
      <c r="B171" s="301"/>
      <c r="C171" s="309"/>
      <c r="D171" s="309"/>
      <c r="E171" s="309"/>
      <c r="F171" s="309"/>
      <c r="L171" s="314"/>
      <c r="M171" s="311"/>
      <c r="P171" s="301"/>
      <c r="Q171" s="311"/>
    </row>
    <row r="172" spans="2:17" x14ac:dyDescent="0.25">
      <c r="B172" s="301"/>
      <c r="C172" s="309"/>
      <c r="D172" s="309"/>
      <c r="E172" s="309"/>
      <c r="F172" s="309"/>
      <c r="L172" s="314"/>
      <c r="M172" s="311"/>
      <c r="P172" s="301"/>
      <c r="Q172" s="311"/>
    </row>
    <row r="173" spans="2:17" x14ac:dyDescent="0.25">
      <c r="B173" s="301"/>
      <c r="C173" s="309"/>
      <c r="D173" s="309"/>
      <c r="E173" s="309"/>
      <c r="F173" s="309"/>
      <c r="L173" s="314"/>
      <c r="M173" s="311"/>
      <c r="P173" s="301"/>
      <c r="Q173" s="311"/>
    </row>
    <row r="174" spans="2:17" x14ac:dyDescent="0.25">
      <c r="B174" s="301"/>
      <c r="C174" s="309"/>
      <c r="D174" s="309"/>
      <c r="E174" s="309"/>
      <c r="F174" s="309"/>
      <c r="L174" s="314"/>
      <c r="M174" s="311"/>
    </row>
    <row r="175" spans="2:17" x14ac:dyDescent="0.25">
      <c r="B175" s="301"/>
      <c r="C175" s="309"/>
      <c r="D175" s="309"/>
      <c r="E175" s="309"/>
      <c r="F175" s="309"/>
      <c r="L175" s="314"/>
      <c r="M175" s="311"/>
    </row>
    <row r="176" spans="2:17" x14ac:dyDescent="0.25">
      <c r="B176" s="301"/>
      <c r="C176" s="309"/>
      <c r="D176" s="309"/>
      <c r="E176" s="309"/>
      <c r="F176" s="309"/>
      <c r="L176" s="314"/>
      <c r="M176" s="311"/>
    </row>
    <row r="177" spans="2:13" x14ac:dyDescent="0.25">
      <c r="B177" s="301"/>
      <c r="C177" s="309"/>
      <c r="D177" s="309"/>
      <c r="E177" s="309"/>
      <c r="F177" s="309"/>
      <c r="L177" s="314"/>
      <c r="M177" s="311"/>
    </row>
    <row r="178" spans="2:13" x14ac:dyDescent="0.25">
      <c r="B178" s="301"/>
      <c r="C178" s="309"/>
      <c r="D178" s="309"/>
      <c r="E178" s="309"/>
      <c r="F178" s="309"/>
      <c r="L178" s="314"/>
      <c r="M178" s="311"/>
    </row>
    <row r="179" spans="2:13" x14ac:dyDescent="0.25">
      <c r="B179" s="301"/>
      <c r="C179" s="309"/>
      <c r="D179" s="309"/>
      <c r="E179" s="309"/>
      <c r="F179" s="309"/>
      <c r="L179" s="314"/>
      <c r="M179" s="311"/>
    </row>
    <row r="180" spans="2:13" x14ac:dyDescent="0.25">
      <c r="B180" s="301"/>
      <c r="C180" s="309"/>
      <c r="D180" s="309"/>
      <c r="E180" s="309"/>
      <c r="F180" s="309"/>
      <c r="L180" s="314"/>
      <c r="M180" s="311"/>
    </row>
    <row r="181" spans="2:13" x14ac:dyDescent="0.25">
      <c r="B181" s="301"/>
      <c r="C181" s="309"/>
      <c r="D181" s="309"/>
      <c r="E181" s="309"/>
      <c r="F181" s="309"/>
      <c r="L181" s="314"/>
      <c r="M181" s="311"/>
    </row>
    <row r="182" spans="2:13" x14ac:dyDescent="0.25">
      <c r="L182" s="314"/>
      <c r="M182" s="311"/>
    </row>
    <row r="183" spans="2:13" x14ac:dyDescent="0.25">
      <c r="L183" s="314"/>
      <c r="M183" s="311"/>
    </row>
    <row r="184" spans="2:13" x14ac:dyDescent="0.25">
      <c r="L184" s="314"/>
      <c r="M184" s="311"/>
    </row>
    <row r="185" spans="2:13" x14ac:dyDescent="0.25">
      <c r="L185" s="314"/>
      <c r="M185" s="311"/>
    </row>
    <row r="186" spans="2:13" x14ac:dyDescent="0.25">
      <c r="K186" s="296"/>
      <c r="L186" s="314"/>
      <c r="M186" s="311"/>
    </row>
    <row r="187" spans="2:13" x14ac:dyDescent="0.25">
      <c r="M187" s="316"/>
    </row>
  </sheetData>
  <autoFilter ref="A17:X132"/>
  <mergeCells count="9">
    <mergeCell ref="N136:P136"/>
    <mergeCell ref="A6:C8"/>
    <mergeCell ref="G6:G8"/>
    <mergeCell ref="H6:Q6"/>
    <mergeCell ref="R6:S8"/>
    <mergeCell ref="H7:K7"/>
    <mergeCell ref="M7:Q7"/>
    <mergeCell ref="A9:C9"/>
    <mergeCell ref="N135:P135"/>
  </mergeCells>
  <conditionalFormatting sqref="L156:L186">
    <cfRule type="containsText" dxfId="3" priority="1" operator="containsText" text="5020201002">
      <formula>NOT(ISERROR(SEARCH("5020201002",L156)))</formula>
    </cfRule>
    <cfRule type="containsText" dxfId="2" priority="2" operator="containsText" text="5020201010">
      <formula>NOT(ISERROR(SEARCH("5020201010",L156)))</formula>
    </cfRule>
    <cfRule type="containsText" dxfId="1" priority="3" operator="containsText" text="5020201000">
      <formula>NOT(ISERROR(SEARCH("5020201000",L156)))</formula>
    </cfRule>
    <cfRule type="containsText" dxfId="0" priority="4" operator="containsText" text="502020101000">
      <formula>NOT(ISERROR(SEARCH("502020101000",L156)))</formula>
    </cfRule>
  </conditionalFormatting>
  <pageMargins left="0.70866141732283472" right="0.70866141732283472" top="0.74803149606299213" bottom="0.74803149606299213" header="0.31496062992125984" footer="0.31496062992125984"/>
  <pageSetup paperSize="9" scale="37" fitToHeight="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51"/>
  <sheetViews>
    <sheetView showGridLines="0" view="pageBreakPreview" zoomScale="85" zoomScaleNormal="85" zoomScaleSheetLayoutView="85" workbookViewId="0">
      <selection activeCell="D54" sqref="D54"/>
    </sheetView>
  </sheetViews>
  <sheetFormatPr defaultColWidth="9.140625" defaultRowHeight="15" x14ac:dyDescent="0.2"/>
  <cols>
    <col min="1" max="1" width="2.28515625" style="35" customWidth="1"/>
    <col min="2" max="2" width="4.42578125" style="35" customWidth="1"/>
    <col min="3" max="3" width="70.5703125" style="35" bestFit="1" customWidth="1"/>
    <col min="4" max="4" width="24.85546875" style="36" customWidth="1"/>
    <col min="5" max="5" width="33" style="35" bestFit="1" customWidth="1"/>
    <col min="6" max="6" width="18.28515625" style="35" bestFit="1" customWidth="1"/>
    <col min="7" max="7" width="14.28515625" style="35" bestFit="1" customWidth="1"/>
    <col min="8" max="8" width="19.5703125" style="35" customWidth="1"/>
    <col min="9" max="9" width="22.28515625" style="35" customWidth="1"/>
    <col min="10" max="10" width="18.140625" style="35" bestFit="1" customWidth="1"/>
    <col min="11" max="11" width="18.28515625" style="35" bestFit="1" customWidth="1"/>
    <col min="12" max="12" width="20.42578125" style="35" customWidth="1"/>
    <col min="13" max="13" width="18.140625" style="35" bestFit="1" customWidth="1"/>
    <col min="14" max="14" width="15.42578125" style="35" hidden="1" customWidth="1"/>
    <col min="15" max="15" width="24.28515625" style="35" hidden="1" customWidth="1"/>
    <col min="16" max="16" width="15.28515625" style="35" customWidth="1"/>
    <col min="17" max="17" width="14" style="35" customWidth="1"/>
    <col min="18" max="16384" width="9.140625" style="35"/>
  </cols>
  <sheetData>
    <row r="1" spans="1:20" ht="15.75" x14ac:dyDescent="0.25">
      <c r="A1" s="34" t="s">
        <v>0</v>
      </c>
    </row>
    <row r="2" spans="1:20" ht="15.75" x14ac:dyDescent="0.25">
      <c r="A2" s="34" t="s">
        <v>1</v>
      </c>
      <c r="B2" s="34"/>
    </row>
    <row r="3" spans="1:20" ht="15.75" x14ac:dyDescent="0.25">
      <c r="A3" s="34" t="str">
        <f>' FC 7 2024'!B3</f>
        <v>As of December 31, 2024</v>
      </c>
      <c r="B3" s="34"/>
    </row>
    <row r="4" spans="1:20" ht="15.75" x14ac:dyDescent="0.25">
      <c r="A4" s="34" t="s">
        <v>250</v>
      </c>
      <c r="B4" s="34"/>
    </row>
    <row r="5" spans="1:20" ht="15.75" x14ac:dyDescent="0.25">
      <c r="A5" s="34"/>
      <c r="B5" s="34"/>
    </row>
    <row r="6" spans="1:20" ht="15.75" customHeight="1" x14ac:dyDescent="0.25">
      <c r="A6" s="496" t="s">
        <v>3</v>
      </c>
      <c r="B6" s="496"/>
      <c r="C6" s="496"/>
      <c r="D6" s="497" t="s">
        <v>4</v>
      </c>
      <c r="E6" s="498" t="s">
        <v>5</v>
      </c>
      <c r="F6" s="498"/>
      <c r="G6" s="498"/>
      <c r="H6" s="498"/>
      <c r="I6" s="498"/>
      <c r="J6" s="498"/>
      <c r="K6" s="498"/>
      <c r="L6" s="498"/>
      <c r="M6" s="498"/>
      <c r="N6" s="499" t="s">
        <v>137</v>
      </c>
      <c r="O6" s="500"/>
      <c r="P6" s="499" t="s">
        <v>364</v>
      </c>
      <c r="Q6" s="500"/>
    </row>
    <row r="7" spans="1:20" ht="15.75" x14ac:dyDescent="0.25">
      <c r="A7" s="496"/>
      <c r="B7" s="496"/>
      <c r="C7" s="496"/>
      <c r="D7" s="497"/>
      <c r="E7" s="505" t="s">
        <v>7</v>
      </c>
      <c r="F7" s="506"/>
      <c r="G7" s="506"/>
      <c r="H7" s="507"/>
      <c r="I7" s="498" t="s">
        <v>8</v>
      </c>
      <c r="J7" s="498"/>
      <c r="K7" s="498"/>
      <c r="L7" s="498"/>
      <c r="M7" s="498"/>
      <c r="N7" s="501"/>
      <c r="O7" s="502"/>
      <c r="P7" s="501"/>
      <c r="Q7" s="502"/>
    </row>
    <row r="8" spans="1:20" s="38" customFormat="1" ht="30" x14ac:dyDescent="0.25">
      <c r="A8" s="496"/>
      <c r="B8" s="496"/>
      <c r="C8" s="496"/>
      <c r="D8" s="497"/>
      <c r="E8" s="37" t="s">
        <v>9</v>
      </c>
      <c r="F8" s="37" t="s">
        <v>10</v>
      </c>
      <c r="G8" s="37" t="s">
        <v>11</v>
      </c>
      <c r="H8" s="37" t="s">
        <v>12</v>
      </c>
      <c r="I8" s="37" t="s">
        <v>9</v>
      </c>
      <c r="J8" s="37" t="s">
        <v>10</v>
      </c>
      <c r="K8" s="37" t="s">
        <v>11</v>
      </c>
      <c r="L8" s="37" t="s">
        <v>13</v>
      </c>
      <c r="M8" s="37" t="s">
        <v>14</v>
      </c>
      <c r="N8" s="503"/>
      <c r="O8" s="504"/>
      <c r="P8" s="503"/>
      <c r="Q8" s="504"/>
    </row>
    <row r="9" spans="1:20" ht="15.75" x14ac:dyDescent="0.25">
      <c r="A9" s="39" t="str">
        <f>'FC1 2024'!A9:C9</f>
        <v>Accumulated Surplus/(Deficit), Beginning Balance 1/1/2024</v>
      </c>
      <c r="B9" s="40"/>
      <c r="C9" s="41"/>
      <c r="D9" s="42">
        <v>11000000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spans="1:20" x14ac:dyDescent="0.2">
      <c r="A10" s="44"/>
      <c r="B10" s="40"/>
      <c r="C10" s="41"/>
      <c r="D10" s="42"/>
      <c r="E10" s="43"/>
      <c r="F10" s="43"/>
      <c r="G10" s="43"/>
      <c r="H10" s="43"/>
      <c r="I10" s="42"/>
      <c r="J10" s="42"/>
      <c r="K10" s="42"/>
      <c r="L10" s="42"/>
      <c r="M10" s="42"/>
      <c r="N10" s="42"/>
      <c r="O10" s="42"/>
      <c r="P10" s="42"/>
      <c r="Q10" s="42"/>
      <c r="R10" s="36"/>
      <c r="S10" s="36"/>
      <c r="T10" s="36"/>
    </row>
    <row r="11" spans="1:20" s="34" customFormat="1" ht="15.75" hidden="1" x14ac:dyDescent="0.25">
      <c r="A11" s="39"/>
      <c r="B11" s="45" t="s">
        <v>16</v>
      </c>
      <c r="C11" s="46"/>
      <c r="D11" s="47"/>
      <c r="E11" s="47"/>
      <c r="F11" s="47"/>
      <c r="G11" s="47"/>
      <c r="H11" s="47">
        <f>SUM(H12:H19)</f>
        <v>0</v>
      </c>
      <c r="I11" s="47"/>
      <c r="J11" s="47"/>
      <c r="K11" s="47"/>
      <c r="L11" s="47"/>
      <c r="M11" s="47"/>
      <c r="N11" s="47"/>
      <c r="O11" s="47"/>
      <c r="P11" s="47"/>
      <c r="Q11" s="47"/>
      <c r="R11" s="48"/>
      <c r="S11" s="48"/>
      <c r="T11" s="48"/>
    </row>
    <row r="12" spans="1:20" hidden="1" x14ac:dyDescent="0.2">
      <c r="A12" s="44"/>
      <c r="B12" s="40"/>
      <c r="C12" s="41" t="s">
        <v>17</v>
      </c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36"/>
      <c r="S12" s="36"/>
      <c r="T12" s="36"/>
    </row>
    <row r="13" spans="1:20" ht="15.75" hidden="1" x14ac:dyDescent="0.25">
      <c r="A13" s="44"/>
      <c r="B13" s="40"/>
      <c r="C13" s="49" t="s">
        <v>108</v>
      </c>
      <c r="D13" s="47"/>
      <c r="E13" s="42" t="s">
        <v>142</v>
      </c>
      <c r="F13" s="42"/>
      <c r="G13" s="42"/>
      <c r="H13" s="42">
        <f>+G13-F13</f>
        <v>0</v>
      </c>
      <c r="I13" s="42" t="s">
        <v>143</v>
      </c>
      <c r="J13" s="42"/>
      <c r="K13" s="42"/>
      <c r="L13" s="42">
        <f>+J13-K13</f>
        <v>0</v>
      </c>
      <c r="M13" s="42"/>
      <c r="N13" s="50"/>
      <c r="O13" s="42"/>
      <c r="P13" s="42"/>
      <c r="Q13" s="42"/>
      <c r="R13" s="36"/>
      <c r="S13" s="36"/>
      <c r="T13" s="36"/>
    </row>
    <row r="14" spans="1:20" ht="15.75" hidden="1" x14ac:dyDescent="0.25">
      <c r="A14" s="44"/>
      <c r="B14" s="40"/>
      <c r="C14" s="49" t="s">
        <v>144</v>
      </c>
      <c r="D14" s="47"/>
      <c r="E14" s="42" t="s">
        <v>145</v>
      </c>
      <c r="F14" s="42"/>
      <c r="G14" s="42"/>
      <c r="H14" s="42">
        <f t="shared" ref="H14:H18" si="0">+G14-F14</f>
        <v>0</v>
      </c>
      <c r="I14" s="42" t="s">
        <v>143</v>
      </c>
      <c r="J14" s="42"/>
      <c r="K14" s="42"/>
      <c r="L14" s="42">
        <f>+J14-K14</f>
        <v>0</v>
      </c>
      <c r="M14" s="42"/>
      <c r="N14" s="42"/>
      <c r="O14" s="42"/>
      <c r="P14" s="42"/>
      <c r="Q14" s="42"/>
      <c r="R14" s="36"/>
      <c r="S14" s="36"/>
      <c r="T14" s="36"/>
    </row>
    <row r="15" spans="1:20" ht="15.75" hidden="1" x14ac:dyDescent="0.25">
      <c r="A15" s="44"/>
      <c r="B15" s="40"/>
      <c r="C15" s="49" t="s">
        <v>135</v>
      </c>
      <c r="D15" s="47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36"/>
      <c r="S15" s="36"/>
      <c r="T15" s="36"/>
    </row>
    <row r="16" spans="1:20" ht="15.75" hidden="1" x14ac:dyDescent="0.25">
      <c r="A16" s="44"/>
      <c r="B16" s="40"/>
      <c r="C16" s="41" t="s">
        <v>134</v>
      </c>
      <c r="D16" s="47"/>
      <c r="E16" s="42"/>
      <c r="F16" s="42"/>
      <c r="G16" s="42"/>
      <c r="H16" s="42">
        <f t="shared" si="0"/>
        <v>0</v>
      </c>
      <c r="I16" s="42"/>
      <c r="J16" s="42"/>
      <c r="K16" s="42"/>
      <c r="L16" s="42"/>
      <c r="M16" s="42"/>
      <c r="N16" s="42"/>
      <c r="O16" s="42"/>
      <c r="P16" s="42"/>
      <c r="Q16" s="42"/>
      <c r="R16" s="36"/>
      <c r="S16" s="36"/>
      <c r="T16" s="36"/>
    </row>
    <row r="17" spans="1:20" ht="15.75" hidden="1" x14ac:dyDescent="0.25">
      <c r="A17" s="44"/>
      <c r="B17" s="40"/>
      <c r="C17" s="49" t="s">
        <v>133</v>
      </c>
      <c r="D17" s="47"/>
      <c r="E17" s="42" t="s">
        <v>146</v>
      </c>
      <c r="F17" s="42"/>
      <c r="G17" s="42"/>
      <c r="H17" s="42">
        <f t="shared" si="0"/>
        <v>0</v>
      </c>
      <c r="I17" s="42" t="s">
        <v>73</v>
      </c>
      <c r="J17" s="42"/>
      <c r="K17" s="42"/>
      <c r="L17" s="42"/>
      <c r="M17" s="42">
        <f>+K17-J17</f>
        <v>0</v>
      </c>
      <c r="N17" s="42"/>
      <c r="O17" s="42"/>
      <c r="P17" s="42"/>
      <c r="Q17" s="42"/>
      <c r="R17" s="36"/>
      <c r="S17" s="36"/>
      <c r="T17" s="36"/>
    </row>
    <row r="18" spans="1:20" ht="15.75" hidden="1" x14ac:dyDescent="0.25">
      <c r="A18" s="44"/>
      <c r="B18" s="40"/>
      <c r="C18" s="49" t="s">
        <v>132</v>
      </c>
      <c r="D18" s="47"/>
      <c r="E18" s="42" t="s">
        <v>145</v>
      </c>
      <c r="F18" s="42"/>
      <c r="G18" s="42"/>
      <c r="H18" s="42">
        <f t="shared" si="0"/>
        <v>0</v>
      </c>
      <c r="I18" s="42" t="s">
        <v>143</v>
      </c>
      <c r="J18" s="42"/>
      <c r="K18" s="42"/>
      <c r="L18" s="42">
        <f>+J18-K18</f>
        <v>0</v>
      </c>
      <c r="M18" s="42"/>
      <c r="N18" s="42"/>
      <c r="O18" s="42"/>
      <c r="P18" s="42"/>
      <c r="Q18" s="42"/>
      <c r="R18" s="36"/>
      <c r="S18" s="36"/>
      <c r="T18" s="36"/>
    </row>
    <row r="19" spans="1:20" ht="15.75" hidden="1" x14ac:dyDescent="0.25">
      <c r="A19" s="44"/>
      <c r="B19" s="40"/>
      <c r="C19" s="49" t="s">
        <v>135</v>
      </c>
      <c r="D19" s="47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36"/>
      <c r="S19" s="36"/>
      <c r="T19" s="36"/>
    </row>
    <row r="20" spans="1:20" s="34" customFormat="1" ht="15.75" hidden="1" x14ac:dyDescent="0.25">
      <c r="A20" s="39"/>
      <c r="B20" s="45" t="s">
        <v>23</v>
      </c>
      <c r="C20" s="46"/>
      <c r="D20" s="47"/>
      <c r="E20" s="47">
        <f>SUM(E21:E25)</f>
        <v>0</v>
      </c>
      <c r="F20" s="47"/>
      <c r="G20" s="47"/>
      <c r="H20" s="47">
        <f>SUM(H21:H34)</f>
        <v>6173504.7599999998</v>
      </c>
      <c r="I20" s="47"/>
      <c r="J20" s="47"/>
      <c r="K20" s="47"/>
      <c r="L20" s="47">
        <v>0</v>
      </c>
      <c r="M20" s="47"/>
      <c r="N20" s="47"/>
      <c r="O20" s="47"/>
      <c r="P20" s="47"/>
      <c r="Q20" s="47"/>
      <c r="R20" s="48"/>
      <c r="S20" s="48"/>
      <c r="T20" s="48"/>
    </row>
    <row r="21" spans="1:20" ht="15.75" hidden="1" x14ac:dyDescent="0.25">
      <c r="A21" s="44"/>
      <c r="B21" s="40"/>
      <c r="C21" s="41" t="s">
        <v>24</v>
      </c>
      <c r="D21" s="47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36"/>
      <c r="S21" s="36"/>
      <c r="T21" s="36"/>
    </row>
    <row r="22" spans="1:20" ht="15.75" hidden="1" x14ac:dyDescent="0.25">
      <c r="A22" s="44"/>
      <c r="B22" s="40"/>
      <c r="C22" s="49" t="s">
        <v>147</v>
      </c>
      <c r="D22" s="47"/>
      <c r="E22" s="42" t="s">
        <v>148</v>
      </c>
      <c r="F22" s="42"/>
      <c r="G22" s="42"/>
      <c r="H22" s="42">
        <f>+F22-G22</f>
        <v>0</v>
      </c>
      <c r="I22" s="42" t="s">
        <v>73</v>
      </c>
      <c r="J22" s="42"/>
      <c r="K22" s="42"/>
      <c r="L22" s="42"/>
      <c r="M22" s="42">
        <f>+K22-J22</f>
        <v>0</v>
      </c>
      <c r="N22" s="42"/>
      <c r="O22" s="42"/>
      <c r="P22" s="42"/>
      <c r="Q22" s="42"/>
      <c r="R22" s="36"/>
      <c r="S22" s="36"/>
      <c r="T22" s="36"/>
    </row>
    <row r="23" spans="1:20" hidden="1" x14ac:dyDescent="0.2">
      <c r="A23" s="44"/>
      <c r="B23" s="40"/>
      <c r="C23" s="49" t="s">
        <v>149</v>
      </c>
      <c r="D23" s="42"/>
      <c r="E23" s="42"/>
      <c r="F23" s="42"/>
      <c r="G23" s="42"/>
      <c r="H23" s="42">
        <f t="shared" ref="H23:H32" si="1">+F23-G23</f>
        <v>0</v>
      </c>
      <c r="I23" s="42" t="s">
        <v>150</v>
      </c>
      <c r="J23" s="42"/>
      <c r="K23" s="42"/>
      <c r="L23" s="42">
        <f>-K23</f>
        <v>0</v>
      </c>
      <c r="M23" s="42">
        <f t="shared" ref="M23" si="2">+K23-J23</f>
        <v>0</v>
      </c>
      <c r="N23" s="42"/>
      <c r="O23" s="42"/>
      <c r="P23" s="42"/>
      <c r="Q23" s="42"/>
      <c r="R23" s="36"/>
      <c r="S23" s="36"/>
      <c r="T23" s="36"/>
    </row>
    <row r="24" spans="1:20" ht="15.75" hidden="1" x14ac:dyDescent="0.25">
      <c r="A24" s="44"/>
      <c r="B24" s="40"/>
      <c r="C24" s="49" t="s">
        <v>135</v>
      </c>
      <c r="D24" s="47"/>
      <c r="E24" s="42"/>
      <c r="F24" s="42"/>
      <c r="G24" s="42"/>
      <c r="H24" s="42">
        <f t="shared" si="1"/>
        <v>0</v>
      </c>
      <c r="I24" s="42"/>
      <c r="J24" s="42"/>
      <c r="K24" s="42"/>
      <c r="L24" s="42"/>
      <c r="M24" s="42"/>
      <c r="N24" s="42"/>
      <c r="O24" s="42"/>
      <c r="P24" s="42"/>
      <c r="Q24" s="42"/>
      <c r="R24" s="36"/>
      <c r="S24" s="36"/>
      <c r="T24" s="36"/>
    </row>
    <row r="25" spans="1:20" ht="15.75" hidden="1" x14ac:dyDescent="0.25">
      <c r="A25" s="44"/>
      <c r="B25" s="40"/>
      <c r="C25" s="41" t="s">
        <v>54</v>
      </c>
      <c r="D25" s="47"/>
      <c r="E25" s="42"/>
      <c r="F25" s="42"/>
      <c r="G25" s="42"/>
      <c r="H25" s="42">
        <f t="shared" si="1"/>
        <v>0</v>
      </c>
      <c r="I25" s="42"/>
      <c r="J25" s="42"/>
      <c r="K25" s="42"/>
      <c r="L25" s="42"/>
      <c r="M25" s="42"/>
      <c r="N25" s="42"/>
      <c r="O25" s="42"/>
      <c r="P25" s="42"/>
      <c r="Q25" s="42"/>
      <c r="R25" s="36"/>
      <c r="S25" s="36"/>
      <c r="T25" s="36"/>
    </row>
    <row r="26" spans="1:20" ht="15.75" hidden="1" x14ac:dyDescent="0.25">
      <c r="A26" s="44"/>
      <c r="B26" s="40"/>
      <c r="C26" s="49" t="s">
        <v>122</v>
      </c>
      <c r="D26" s="47"/>
      <c r="E26" s="42" t="s">
        <v>151</v>
      </c>
      <c r="F26" s="42"/>
      <c r="G26" s="42"/>
      <c r="H26" s="42">
        <f t="shared" si="1"/>
        <v>0</v>
      </c>
      <c r="I26" s="42" t="s">
        <v>152</v>
      </c>
      <c r="J26" s="42"/>
      <c r="K26" s="42"/>
      <c r="L26" s="42">
        <f>+J26-K26</f>
        <v>0</v>
      </c>
      <c r="M26" s="42"/>
      <c r="N26" s="42"/>
      <c r="O26" s="42"/>
      <c r="P26" s="42"/>
      <c r="Q26" s="42"/>
      <c r="R26" s="36"/>
      <c r="S26" s="36"/>
      <c r="T26" s="36"/>
    </row>
    <row r="27" spans="1:20" s="34" customFormat="1" ht="15.75" hidden="1" x14ac:dyDescent="0.25">
      <c r="A27" s="39"/>
      <c r="B27" s="45"/>
      <c r="C27" s="49" t="s">
        <v>135</v>
      </c>
      <c r="D27" s="47"/>
      <c r="E27" s="47"/>
      <c r="F27" s="47"/>
      <c r="G27" s="47"/>
      <c r="H27" s="42">
        <f t="shared" si="1"/>
        <v>0</v>
      </c>
      <c r="I27" s="47"/>
      <c r="J27" s="47"/>
      <c r="K27" s="47"/>
      <c r="L27" s="47"/>
      <c r="M27" s="47"/>
      <c r="N27" s="47"/>
      <c r="O27" s="47"/>
      <c r="P27" s="47"/>
      <c r="Q27" s="47"/>
      <c r="R27" s="48"/>
      <c r="S27" s="48"/>
      <c r="T27" s="48"/>
    </row>
    <row r="28" spans="1:20" s="34" customFormat="1" ht="15.75" x14ac:dyDescent="0.25">
      <c r="A28" s="39"/>
      <c r="B28" s="45"/>
      <c r="C28" s="40" t="s">
        <v>58</v>
      </c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8"/>
      <c r="S28" s="48"/>
      <c r="T28" s="48"/>
    </row>
    <row r="29" spans="1:20" ht="15.75" hidden="1" x14ac:dyDescent="0.25">
      <c r="A29" s="44"/>
      <c r="B29" s="45"/>
      <c r="C29" s="49" t="s">
        <v>120</v>
      </c>
      <c r="D29" s="51"/>
      <c r="E29" s="52" t="s">
        <v>153</v>
      </c>
      <c r="F29" s="42"/>
      <c r="G29" s="42"/>
      <c r="H29" s="42">
        <f t="shared" si="1"/>
        <v>0</v>
      </c>
      <c r="I29" s="42" t="s">
        <v>62</v>
      </c>
      <c r="J29" s="42"/>
      <c r="K29" s="42"/>
      <c r="L29" s="42">
        <f>+J29-K29</f>
        <v>0</v>
      </c>
      <c r="M29" s="42"/>
      <c r="N29" s="42"/>
      <c r="O29" s="42"/>
      <c r="P29" s="42"/>
      <c r="Q29" s="42"/>
      <c r="R29" s="36"/>
      <c r="S29" s="36"/>
      <c r="T29" s="36"/>
    </row>
    <row r="30" spans="1:20" ht="15.75" x14ac:dyDescent="0.25">
      <c r="A30" s="44"/>
      <c r="B30" s="45"/>
      <c r="C30" s="49" t="s">
        <v>154</v>
      </c>
      <c r="D30" s="53">
        <v>-6173504.7599999998</v>
      </c>
      <c r="E30" s="52" t="s">
        <v>153</v>
      </c>
      <c r="F30" s="42">
        <f>-D30</f>
        <v>6173504.7599999998</v>
      </c>
      <c r="G30" s="42"/>
      <c r="H30" s="42">
        <f t="shared" si="1"/>
        <v>6173504.7599999998</v>
      </c>
      <c r="I30" s="42" t="s">
        <v>60</v>
      </c>
      <c r="J30" s="42"/>
      <c r="K30" s="42">
        <f>F30</f>
        <v>6173504.7599999998</v>
      </c>
      <c r="L30" s="42">
        <f>-K30</f>
        <v>-6173504.7599999998</v>
      </c>
      <c r="M30" s="42"/>
      <c r="N30" s="42"/>
      <c r="O30" s="42"/>
      <c r="P30" s="42"/>
      <c r="Q30" s="42"/>
      <c r="R30" s="36"/>
      <c r="S30" s="36"/>
      <c r="T30" s="36"/>
    </row>
    <row r="31" spans="1:20" ht="15.75" hidden="1" x14ac:dyDescent="0.25">
      <c r="A31" s="44"/>
      <c r="B31" s="45"/>
      <c r="C31" s="49" t="s">
        <v>94</v>
      </c>
      <c r="D31" s="51"/>
      <c r="E31" s="5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 t="s">
        <v>84</v>
      </c>
      <c r="Q31" s="42"/>
      <c r="R31" s="36"/>
      <c r="S31" s="36"/>
      <c r="T31" s="36"/>
    </row>
    <row r="32" spans="1:20" ht="15.75" hidden="1" x14ac:dyDescent="0.25">
      <c r="A32" s="44"/>
      <c r="B32" s="45"/>
      <c r="C32" s="49" t="s">
        <v>135</v>
      </c>
      <c r="D32" s="42"/>
      <c r="E32" s="42"/>
      <c r="F32" s="42"/>
      <c r="G32" s="42"/>
      <c r="H32" s="42">
        <f t="shared" si="1"/>
        <v>0</v>
      </c>
      <c r="I32" s="42"/>
      <c r="J32" s="42"/>
      <c r="K32" s="42"/>
      <c r="L32" s="42"/>
      <c r="M32" s="42"/>
      <c r="N32" s="42"/>
      <c r="O32" s="42"/>
      <c r="P32" s="42"/>
      <c r="Q32" s="42"/>
      <c r="R32" s="36"/>
      <c r="S32" s="36"/>
      <c r="T32" s="36"/>
    </row>
    <row r="33" spans="1:20" ht="15.75" hidden="1" x14ac:dyDescent="0.25">
      <c r="A33" s="44"/>
      <c r="B33" s="45"/>
      <c r="C33" s="49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36"/>
      <c r="S33" s="36"/>
      <c r="T33" s="36"/>
    </row>
    <row r="34" spans="1:20" ht="15.75" x14ac:dyDescent="0.25">
      <c r="A34" s="44"/>
      <c r="B34" s="45"/>
      <c r="C34" s="49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202">
        <f>D34</f>
        <v>0</v>
      </c>
      <c r="Q34" s="42"/>
      <c r="R34" s="36"/>
      <c r="S34" s="36"/>
      <c r="T34" s="36"/>
    </row>
    <row r="35" spans="1:20" s="34" customFormat="1" ht="15.75" x14ac:dyDescent="0.25">
      <c r="A35" s="39" t="str">
        <f>' FC 7 2024'!B52</f>
        <v>Balance as of December 31, 2024</v>
      </c>
      <c r="B35" s="45"/>
      <c r="C35" s="46"/>
      <c r="D35" s="47">
        <f>SUM(D9:D34)</f>
        <v>4826495.24</v>
      </c>
      <c r="E35" s="47">
        <f>E9+E28+E20+E11</f>
        <v>0</v>
      </c>
      <c r="F35" s="47"/>
      <c r="G35" s="47"/>
      <c r="H35" s="47">
        <f>+H11+H20</f>
        <v>6173504.7599999998</v>
      </c>
      <c r="I35" s="47">
        <f>SUM(I12:I32)</f>
        <v>0</v>
      </c>
      <c r="J35" s="47"/>
      <c r="K35" s="47"/>
      <c r="L35" s="47">
        <f>+L11+L20+L30</f>
        <v>-6173504.7599999998</v>
      </c>
      <c r="M35" s="47">
        <f>SUM(M11:M32)</f>
        <v>0</v>
      </c>
      <c r="N35" s="47"/>
      <c r="O35" s="47">
        <f>SUM(O11:O32)</f>
        <v>0</v>
      </c>
      <c r="P35" s="47"/>
      <c r="Q35" s="47">
        <f>SUM(Q11:Q32)</f>
        <v>0</v>
      </c>
      <c r="R35" s="48"/>
      <c r="S35" s="48"/>
      <c r="T35" s="48"/>
    </row>
    <row r="36" spans="1:20" x14ac:dyDescent="0.2">
      <c r="A36" s="54" t="s">
        <v>116</v>
      </c>
      <c r="D36" s="36">
        <f>D35-[32]FC3SGE!$J$15</f>
        <v>0</v>
      </c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</row>
    <row r="37" spans="1:20" ht="15.75" x14ac:dyDescent="0.25">
      <c r="A37" s="54"/>
      <c r="C37" s="34" t="s">
        <v>74</v>
      </c>
      <c r="E37" s="34" t="s">
        <v>75</v>
      </c>
      <c r="I37" s="34" t="s">
        <v>76</v>
      </c>
      <c r="J37" s="36"/>
      <c r="K37" s="36"/>
      <c r="L37" s="36"/>
      <c r="M37" s="34"/>
      <c r="N37" s="34"/>
      <c r="O37" s="34"/>
      <c r="P37" s="55" t="s">
        <v>113</v>
      </c>
      <c r="Q37" s="36"/>
      <c r="R37" s="36"/>
      <c r="S37" s="36"/>
      <c r="T37" s="36"/>
    </row>
    <row r="38" spans="1:20" x14ac:dyDescent="0.2">
      <c r="C38" s="56" t="s">
        <v>78</v>
      </c>
      <c r="D38" s="36">
        <f>D35</f>
        <v>4826495.24</v>
      </c>
      <c r="I38" s="36"/>
      <c r="J38" s="57" t="s">
        <v>79</v>
      </c>
      <c r="K38" s="58"/>
      <c r="L38" s="36">
        <f>L35</f>
        <v>-6173504.7599999998</v>
      </c>
      <c r="M38" s="36"/>
      <c r="N38" s="36"/>
      <c r="O38" s="36"/>
      <c r="P38" s="36"/>
      <c r="Q38" s="36"/>
      <c r="R38" s="36"/>
      <c r="S38" s="36"/>
      <c r="T38" s="36"/>
    </row>
    <row r="39" spans="1:20" x14ac:dyDescent="0.2">
      <c r="C39" s="56" t="s">
        <v>80</v>
      </c>
      <c r="D39" s="36">
        <f>D9</f>
        <v>11000000</v>
      </c>
      <c r="I39" s="36"/>
      <c r="J39" s="57" t="s">
        <v>81</v>
      </c>
      <c r="K39" s="58"/>
      <c r="L39" s="36">
        <f>M35</f>
        <v>0</v>
      </c>
      <c r="M39" s="36"/>
      <c r="N39" s="36"/>
      <c r="O39" s="36"/>
      <c r="P39" s="36"/>
      <c r="Q39" s="36"/>
      <c r="R39" s="36"/>
      <c r="S39" s="36"/>
      <c r="T39" s="36"/>
    </row>
    <row r="40" spans="1:20" ht="15.75" x14ac:dyDescent="0.25">
      <c r="C40" s="59" t="s">
        <v>82</v>
      </c>
      <c r="D40" s="48">
        <f>+D38-D39</f>
        <v>-6173504.7599999998</v>
      </c>
      <c r="E40" s="60" t="s">
        <v>83</v>
      </c>
      <c r="H40" s="61">
        <f>+H35</f>
        <v>6173504.7599999998</v>
      </c>
      <c r="I40" s="36"/>
      <c r="J40" s="57" t="s">
        <v>84</v>
      </c>
      <c r="K40" s="62"/>
      <c r="L40" s="48">
        <f>P34</f>
        <v>0</v>
      </c>
      <c r="M40" s="36"/>
      <c r="N40" s="36"/>
      <c r="O40" s="36">
        <f>L38-L39</f>
        <v>-6173504.7599999998</v>
      </c>
      <c r="P40" s="48" t="s">
        <v>84</v>
      </c>
      <c r="Q40" s="48"/>
      <c r="R40" s="36"/>
      <c r="S40" s="36"/>
      <c r="T40" s="36"/>
    </row>
    <row r="41" spans="1:20" ht="15.75" x14ac:dyDescent="0.25">
      <c r="I41" s="36"/>
      <c r="J41" s="63" t="s">
        <v>85</v>
      </c>
      <c r="K41" s="48"/>
      <c r="L41" s="48">
        <f>+L38-L39+L40</f>
        <v>-6173504.7599999998</v>
      </c>
      <c r="M41" s="48"/>
      <c r="N41" s="48"/>
      <c r="O41" s="48">
        <f>+L38-L39-O40</f>
        <v>0</v>
      </c>
      <c r="P41" s="36"/>
      <c r="Q41" s="36"/>
      <c r="R41" s="36"/>
      <c r="S41" s="36"/>
      <c r="T41" s="36"/>
    </row>
    <row r="42" spans="1:20" s="64" customFormat="1" x14ac:dyDescent="0.2">
      <c r="D42" s="65"/>
      <c r="I42" s="65"/>
      <c r="J42" s="65"/>
      <c r="K42" s="65"/>
      <c r="L42" s="65">
        <f>D40-L41</f>
        <v>0</v>
      </c>
      <c r="M42" s="65"/>
      <c r="N42" s="65"/>
      <c r="O42" s="65"/>
      <c r="P42" s="65"/>
      <c r="Q42" s="65"/>
      <c r="R42" s="65"/>
      <c r="S42" s="65"/>
      <c r="T42" s="65"/>
    </row>
    <row r="43" spans="1:20" s="64" customFormat="1" x14ac:dyDescent="0.2">
      <c r="D43" s="65"/>
      <c r="E43" s="66">
        <f>D35</f>
        <v>4826495.24</v>
      </c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</row>
    <row r="44" spans="1:20" s="64" customFormat="1" ht="15.75" x14ac:dyDescent="0.25">
      <c r="D44" s="65"/>
      <c r="E44" s="67">
        <f>[33]FC1SGE!$J$19</f>
        <v>1060847.8499999975</v>
      </c>
      <c r="I44" s="493"/>
      <c r="J44" s="493"/>
      <c r="K44" s="493"/>
      <c r="L44" s="493"/>
      <c r="M44" s="493"/>
      <c r="N44" s="493"/>
      <c r="O44" s="493"/>
      <c r="P44" s="493"/>
      <c r="Q44" s="493"/>
      <c r="R44" s="65"/>
      <c r="S44" s="65"/>
      <c r="T44" s="65"/>
    </row>
    <row r="45" spans="1:20" s="64" customFormat="1" hidden="1" x14ac:dyDescent="0.2">
      <c r="C45" s="68"/>
      <c r="D45" s="65"/>
      <c r="E45" s="69"/>
      <c r="I45" s="70"/>
      <c r="J45" s="70"/>
      <c r="K45" s="70"/>
      <c r="L45" s="70"/>
      <c r="M45" s="70"/>
      <c r="N45" s="70"/>
      <c r="O45" s="70"/>
      <c r="P45" s="70"/>
      <c r="Q45" s="70"/>
      <c r="R45" s="65"/>
      <c r="S45" s="65"/>
      <c r="T45" s="65"/>
    </row>
    <row r="46" spans="1:20" s="64" customFormat="1" x14ac:dyDescent="0.2">
      <c r="C46" s="68"/>
      <c r="D46" s="65"/>
      <c r="E46" s="66">
        <f>E43-E44</f>
        <v>3765647.3900000025</v>
      </c>
      <c r="I46" s="70"/>
      <c r="J46" s="70"/>
      <c r="K46" s="70"/>
      <c r="L46" s="70"/>
      <c r="M46" s="70"/>
      <c r="N46" s="70"/>
      <c r="O46" s="70"/>
      <c r="P46" s="70"/>
      <c r="Q46" s="70"/>
      <c r="R46" s="65"/>
      <c r="S46" s="65"/>
      <c r="T46" s="65"/>
    </row>
    <row r="47" spans="1:20" s="71" customFormat="1" ht="16.5" x14ac:dyDescent="0.3">
      <c r="D47" s="72" t="s">
        <v>88</v>
      </c>
      <c r="E47" s="73"/>
      <c r="J47" s="74"/>
      <c r="K47" s="3" t="s">
        <v>89</v>
      </c>
      <c r="L47" s="74"/>
      <c r="M47" s="74"/>
      <c r="N47" s="74"/>
      <c r="O47" s="74"/>
      <c r="P47" s="73" t="s">
        <v>155</v>
      </c>
      <c r="Q47" s="73">
        <f>22029704.73-16100096.25</f>
        <v>5929608.4800000004</v>
      </c>
      <c r="R47" s="73">
        <v>-16100096.25</v>
      </c>
      <c r="S47" s="73">
        <v>0</v>
      </c>
      <c r="T47" s="73">
        <v>22029704.73</v>
      </c>
    </row>
    <row r="48" spans="1:20" s="71" customFormat="1" ht="16.5" x14ac:dyDescent="0.3">
      <c r="E48" s="74"/>
      <c r="J48" s="74"/>
      <c r="K48" s="74"/>
      <c r="L48" s="74"/>
      <c r="M48" s="74"/>
      <c r="N48" s="74"/>
      <c r="O48" s="74"/>
      <c r="P48" s="73" t="s">
        <v>156</v>
      </c>
      <c r="Q48" s="75">
        <f>SUM(Q46:Q47)</f>
        <v>5929608.4800000004</v>
      </c>
      <c r="R48" s="73">
        <f>Q46+R47</f>
        <v>-16100096.25</v>
      </c>
      <c r="S48" s="73">
        <f>R48+S47</f>
        <v>-16100096.25</v>
      </c>
      <c r="T48" s="76">
        <f>S48+T47</f>
        <v>5929608.4800000004</v>
      </c>
    </row>
    <row r="49" spans="4:20" s="71" customFormat="1" ht="16.5" x14ac:dyDescent="0.3">
      <c r="E49" s="74"/>
      <c r="J49" s="74"/>
      <c r="K49" s="74"/>
      <c r="L49" s="74"/>
      <c r="M49" s="74"/>
      <c r="N49" s="74"/>
      <c r="O49" s="74"/>
      <c r="P49" s="73"/>
      <c r="Q49" s="73"/>
      <c r="R49" s="73"/>
      <c r="S49" s="73"/>
      <c r="T49" s="77"/>
    </row>
    <row r="50" spans="4:20" s="71" customFormat="1" ht="16.5" x14ac:dyDescent="0.3">
      <c r="D50" s="494" t="s">
        <v>208</v>
      </c>
      <c r="E50" s="494"/>
      <c r="F50" s="494"/>
      <c r="J50" s="78"/>
      <c r="K50" s="494" t="s">
        <v>90</v>
      </c>
      <c r="L50" s="494"/>
      <c r="M50" s="494"/>
      <c r="N50" s="78"/>
      <c r="O50" s="78"/>
      <c r="P50" s="79"/>
      <c r="Q50" s="73"/>
      <c r="R50" s="73"/>
      <c r="S50" s="73"/>
      <c r="T50" s="77"/>
    </row>
    <row r="51" spans="4:20" s="71" customFormat="1" ht="16.5" x14ac:dyDescent="0.3">
      <c r="D51" s="495" t="s">
        <v>91</v>
      </c>
      <c r="E51" s="495"/>
      <c r="F51" s="495"/>
      <c r="J51" s="80"/>
      <c r="K51" s="495" t="s">
        <v>92</v>
      </c>
      <c r="L51" s="495"/>
      <c r="M51" s="495"/>
      <c r="N51" s="80"/>
      <c r="O51" s="80"/>
      <c r="P51" s="80"/>
      <c r="Q51" s="74"/>
      <c r="R51" s="74"/>
      <c r="S51" s="74"/>
    </row>
  </sheetData>
  <mergeCells count="12">
    <mergeCell ref="A6:C8"/>
    <mergeCell ref="D6:D8"/>
    <mergeCell ref="E6:M6"/>
    <mergeCell ref="N6:O8"/>
    <mergeCell ref="P6:Q8"/>
    <mergeCell ref="E7:H7"/>
    <mergeCell ref="I7:M7"/>
    <mergeCell ref="I44:Q44"/>
    <mergeCell ref="D50:F50"/>
    <mergeCell ref="K50:M50"/>
    <mergeCell ref="D51:F51"/>
    <mergeCell ref="K51:M51"/>
  </mergeCells>
  <printOptions horizontalCentered="1"/>
  <pageMargins left="0" right="0" top="0.75" bottom="0.75" header="0.3" footer="0.3"/>
  <pageSetup paperSize="9" scale="4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74"/>
  <sheetViews>
    <sheetView showGridLines="0" topLeftCell="B10" zoomScale="85" zoomScaleNormal="85" workbookViewId="0">
      <selection activeCell="E52" sqref="E52"/>
    </sheetView>
  </sheetViews>
  <sheetFormatPr defaultColWidth="9.140625" defaultRowHeight="15.75" x14ac:dyDescent="0.25"/>
  <cols>
    <col min="1" max="1" width="15.5703125" style="155" hidden="1" customWidth="1"/>
    <col min="2" max="2" width="2.28515625" style="155" customWidth="1"/>
    <col min="3" max="3" width="13.5703125" style="155" customWidth="1"/>
    <col min="4" max="4" width="54.28515625" style="155" customWidth="1"/>
    <col min="5" max="5" width="22.85546875" style="156" customWidth="1"/>
    <col min="6" max="6" width="30.140625" style="155" customWidth="1"/>
    <col min="7" max="7" width="18.28515625" style="155" bestFit="1" customWidth="1"/>
    <col min="8" max="8" width="18.85546875" style="155" customWidth="1"/>
    <col min="9" max="9" width="16.28515625" style="155" customWidth="1"/>
    <col min="10" max="10" width="44.140625" style="148" customWidth="1"/>
    <col min="11" max="11" width="15.5703125" style="155" customWidth="1"/>
    <col min="12" max="13" width="16.42578125" style="155" customWidth="1"/>
    <col min="14" max="14" width="19.42578125" style="155" customWidth="1"/>
    <col min="15" max="15" width="16.28515625" style="155" customWidth="1"/>
    <col min="16" max="16" width="17.140625" style="155" customWidth="1"/>
    <col min="17" max="17" width="13.42578125" style="155" bestFit="1" customWidth="1"/>
    <col min="18" max="19" width="14.42578125" style="155" bestFit="1" customWidth="1"/>
    <col min="20" max="20" width="13.85546875" style="155" bestFit="1" customWidth="1"/>
    <col min="21" max="16384" width="9.140625" style="155"/>
  </cols>
  <sheetData>
    <row r="1" spans="2:19" x14ac:dyDescent="0.25">
      <c r="B1" s="165" t="s">
        <v>164</v>
      </c>
    </row>
    <row r="2" spans="2:19" s="165" customFormat="1" x14ac:dyDescent="0.25">
      <c r="B2" s="165" t="s">
        <v>1</v>
      </c>
      <c r="E2" s="164"/>
      <c r="I2" s="166"/>
      <c r="J2" s="160"/>
    </row>
    <row r="3" spans="2:19" s="165" customFormat="1" x14ac:dyDescent="0.25">
      <c r="B3" s="165" t="str">
        <f>'FC1 2024'!A3</f>
        <v>As of December 31, 2024</v>
      </c>
      <c r="E3" s="164"/>
      <c r="I3" s="166"/>
      <c r="J3" s="160"/>
    </row>
    <row r="4" spans="2:19" x14ac:dyDescent="0.25">
      <c r="B4" s="165" t="s">
        <v>165</v>
      </c>
      <c r="I4" s="167"/>
    </row>
    <row r="5" spans="2:19" x14ac:dyDescent="0.25">
      <c r="I5" s="167"/>
    </row>
    <row r="6" spans="2:19" s="165" customFormat="1" ht="16.5" customHeight="1" x14ac:dyDescent="0.25">
      <c r="B6" s="522" t="s">
        <v>3</v>
      </c>
      <c r="C6" s="522"/>
      <c r="D6" s="522"/>
      <c r="E6" s="523" t="s">
        <v>4</v>
      </c>
      <c r="F6" s="517" t="s">
        <v>5</v>
      </c>
      <c r="G6" s="517"/>
      <c r="H6" s="517"/>
      <c r="I6" s="517"/>
      <c r="J6" s="517"/>
      <c r="K6" s="517"/>
      <c r="L6" s="517"/>
      <c r="M6" s="517"/>
      <c r="N6" s="517"/>
      <c r="O6" s="508" t="s">
        <v>364</v>
      </c>
      <c r="P6" s="509"/>
    </row>
    <row r="7" spans="2:19" s="165" customFormat="1" x14ac:dyDescent="0.25">
      <c r="B7" s="522"/>
      <c r="C7" s="522"/>
      <c r="D7" s="522"/>
      <c r="E7" s="523"/>
      <c r="F7" s="514" t="s">
        <v>7</v>
      </c>
      <c r="G7" s="515"/>
      <c r="H7" s="515"/>
      <c r="I7" s="516"/>
      <c r="J7" s="517" t="s">
        <v>8</v>
      </c>
      <c r="K7" s="517"/>
      <c r="L7" s="517"/>
      <c r="M7" s="517"/>
      <c r="N7" s="517"/>
      <c r="O7" s="510"/>
      <c r="P7" s="511"/>
    </row>
    <row r="8" spans="2:19" s="228" customFormat="1" ht="31.5" x14ac:dyDescent="0.25">
      <c r="B8" s="522"/>
      <c r="C8" s="522"/>
      <c r="D8" s="522"/>
      <c r="E8" s="523"/>
      <c r="F8" s="227" t="s">
        <v>9</v>
      </c>
      <c r="G8" s="227" t="s">
        <v>10</v>
      </c>
      <c r="H8" s="227" t="s">
        <v>11</v>
      </c>
      <c r="I8" s="227" t="s">
        <v>12</v>
      </c>
      <c r="J8" s="227" t="s">
        <v>9</v>
      </c>
      <c r="K8" s="227" t="s">
        <v>10</v>
      </c>
      <c r="L8" s="227" t="s">
        <v>11</v>
      </c>
      <c r="M8" s="227" t="s">
        <v>13</v>
      </c>
      <c r="N8" s="227" t="s">
        <v>14</v>
      </c>
      <c r="O8" s="512"/>
      <c r="P8" s="513"/>
    </row>
    <row r="9" spans="2:19" x14ac:dyDescent="0.25">
      <c r="B9" s="518" t="s">
        <v>363</v>
      </c>
      <c r="C9" s="519"/>
      <c r="D9" s="520"/>
      <c r="E9" s="151">
        <v>21953385.59</v>
      </c>
      <c r="F9" s="152"/>
      <c r="G9" s="152"/>
      <c r="H9" s="152"/>
      <c r="I9" s="152"/>
      <c r="J9" s="211"/>
      <c r="K9" s="152"/>
      <c r="L9" s="152"/>
      <c r="M9" s="152"/>
      <c r="N9" s="152"/>
      <c r="O9" s="152"/>
      <c r="P9" s="152"/>
    </row>
    <row r="10" spans="2:19" x14ac:dyDescent="0.25">
      <c r="B10" s="443"/>
      <c r="C10" s="444"/>
      <c r="D10" s="445"/>
      <c r="E10" s="151"/>
      <c r="F10" s="152"/>
      <c r="G10" s="152"/>
      <c r="H10" s="152"/>
      <c r="I10" s="152"/>
      <c r="J10" s="154"/>
      <c r="K10" s="151"/>
      <c r="L10" s="151"/>
      <c r="M10" s="151"/>
      <c r="N10" s="151"/>
      <c r="O10" s="151"/>
      <c r="P10" s="151"/>
      <c r="Q10" s="156"/>
      <c r="R10" s="156"/>
      <c r="S10" s="156"/>
    </row>
    <row r="11" spans="2:19" x14ac:dyDescent="0.25">
      <c r="B11" s="443"/>
      <c r="C11" s="444" t="s">
        <v>16</v>
      </c>
      <c r="D11" s="445"/>
      <c r="E11" s="151">
        <f>SUM(E12:E16)</f>
        <v>0</v>
      </c>
      <c r="F11" s="151"/>
      <c r="G11" s="151">
        <f>SUM(G12:G16)</f>
        <v>0</v>
      </c>
      <c r="H11" s="151">
        <f>SUM(H12:H16)</f>
        <v>0</v>
      </c>
      <c r="I11" s="151">
        <f>SUM(I12:I16)</f>
        <v>0</v>
      </c>
      <c r="J11" s="154"/>
      <c r="K11" s="151"/>
      <c r="L11" s="151"/>
      <c r="M11" s="151">
        <f>SUM(M13:M16)</f>
        <v>0</v>
      </c>
      <c r="N11" s="151">
        <f>SUM(N13:N16)</f>
        <v>0</v>
      </c>
      <c r="O11" s="151"/>
      <c r="P11" s="151"/>
      <c r="Q11" s="156"/>
      <c r="R11" s="156"/>
      <c r="S11" s="156"/>
    </row>
    <row r="12" spans="2:19" s="173" customFormat="1" hidden="1" x14ac:dyDescent="0.25">
      <c r="B12" s="168"/>
      <c r="C12" s="169"/>
      <c r="D12" s="170" t="s">
        <v>17</v>
      </c>
      <c r="E12" s="171"/>
      <c r="F12" s="171"/>
      <c r="G12" s="171"/>
      <c r="H12" s="171"/>
      <c r="I12" s="171"/>
      <c r="J12" s="212"/>
      <c r="K12" s="171"/>
      <c r="L12" s="171"/>
      <c r="M12" s="171"/>
      <c r="N12" s="171"/>
      <c r="O12" s="171"/>
      <c r="P12" s="171"/>
      <c r="Q12" s="172"/>
      <c r="R12" s="172"/>
      <c r="S12" s="172"/>
    </row>
    <row r="13" spans="2:19" ht="24" hidden="1" customHeight="1" x14ac:dyDescent="0.25">
      <c r="B13" s="443"/>
      <c r="C13" s="444"/>
      <c r="D13" s="445" t="s">
        <v>167</v>
      </c>
      <c r="E13" s="151"/>
      <c r="F13" s="151" t="s">
        <v>19</v>
      </c>
      <c r="G13" s="151"/>
      <c r="H13" s="151"/>
      <c r="I13" s="151"/>
      <c r="J13" s="154" t="s">
        <v>168</v>
      </c>
      <c r="K13" s="151"/>
      <c r="L13" s="151"/>
      <c r="M13" s="151"/>
      <c r="N13" s="151"/>
      <c r="O13" s="151"/>
      <c r="P13" s="151"/>
      <c r="Q13" s="156"/>
      <c r="R13" s="156"/>
      <c r="S13" s="156"/>
    </row>
    <row r="14" spans="2:19" ht="24" hidden="1" customHeight="1" x14ac:dyDescent="0.25">
      <c r="B14" s="443"/>
      <c r="C14" s="444"/>
      <c r="D14" s="445" t="s">
        <v>169</v>
      </c>
      <c r="E14" s="151"/>
      <c r="F14" s="151" t="s">
        <v>19</v>
      </c>
      <c r="G14" s="151"/>
      <c r="H14" s="151"/>
      <c r="I14" s="151"/>
      <c r="J14" s="154" t="s">
        <v>168</v>
      </c>
      <c r="K14" s="151"/>
      <c r="L14" s="151"/>
      <c r="M14" s="151"/>
      <c r="N14" s="151"/>
      <c r="O14" s="151"/>
      <c r="P14" s="151"/>
      <c r="Q14" s="156"/>
      <c r="R14" s="156"/>
      <c r="S14" s="156"/>
    </row>
    <row r="15" spans="2:19" s="173" customFormat="1" hidden="1" x14ac:dyDescent="0.25">
      <c r="B15" s="168"/>
      <c r="C15" s="169"/>
      <c r="D15" s="170" t="s">
        <v>134</v>
      </c>
      <c r="E15" s="171"/>
      <c r="F15" s="171"/>
      <c r="G15" s="171"/>
      <c r="H15" s="171"/>
      <c r="I15" s="171"/>
      <c r="J15" s="212"/>
      <c r="K15" s="171"/>
      <c r="L15" s="171"/>
      <c r="M15" s="171"/>
      <c r="N15" s="171"/>
      <c r="O15" s="171"/>
      <c r="P15" s="171"/>
      <c r="Q15" s="172"/>
      <c r="R15" s="172"/>
      <c r="S15" s="172"/>
    </row>
    <row r="16" spans="2:19" hidden="1" x14ac:dyDescent="0.25">
      <c r="B16" s="443"/>
      <c r="C16" s="444"/>
      <c r="D16" s="445" t="s">
        <v>170</v>
      </c>
      <c r="E16" s="151"/>
      <c r="F16" s="151" t="s">
        <v>19</v>
      </c>
      <c r="G16" s="151"/>
      <c r="H16" s="151"/>
      <c r="I16" s="151"/>
      <c r="J16" s="154" t="s">
        <v>168</v>
      </c>
      <c r="K16" s="151"/>
      <c r="L16" s="151"/>
      <c r="M16" s="151"/>
      <c r="N16" s="151"/>
      <c r="O16" s="151"/>
      <c r="P16" s="151"/>
      <c r="Q16" s="156"/>
      <c r="R16" s="156"/>
      <c r="S16" s="156"/>
    </row>
    <row r="17" spans="2:19" ht="27.75" customHeight="1" x14ac:dyDescent="0.25">
      <c r="B17" s="443"/>
      <c r="C17" s="447" t="s">
        <v>23</v>
      </c>
      <c r="D17" s="445"/>
      <c r="E17" s="151">
        <f>SUM(E18:E40)</f>
        <v>-1488042.0099999998</v>
      </c>
      <c r="F17" s="151"/>
      <c r="G17" s="151">
        <f>SUM(G19:G41)</f>
        <v>2201707.3200000003</v>
      </c>
      <c r="H17" s="151">
        <f>SUM(H19:H41)</f>
        <v>1752611.46</v>
      </c>
      <c r="I17" s="151">
        <f>SUM(I19:I45)</f>
        <v>862820.98000000021</v>
      </c>
      <c r="J17" s="154"/>
      <c r="K17" s="151">
        <f>SUM(K19:K35)</f>
        <v>995484.5</v>
      </c>
      <c r="L17" s="151">
        <f>SUM(L19:L35)</f>
        <v>3197207.3200000003</v>
      </c>
      <c r="M17" s="163">
        <f>SUM(M19:M51)</f>
        <v>-11705309.699999999</v>
      </c>
      <c r="N17" s="163">
        <f>SUM(N19:N51)</f>
        <v>-10217267.689999999</v>
      </c>
      <c r="O17" s="151"/>
      <c r="P17" s="151"/>
      <c r="Q17" s="156"/>
      <c r="R17" s="156"/>
      <c r="S17" s="156"/>
    </row>
    <row r="18" spans="2:19" ht="32.25" customHeight="1" x14ac:dyDescent="0.25">
      <c r="B18" s="443"/>
      <c r="C18" s="447" t="s">
        <v>196</v>
      </c>
      <c r="D18" s="174" t="s">
        <v>54</v>
      </c>
      <c r="E18" s="151"/>
      <c r="F18" s="151"/>
      <c r="G18" s="151"/>
      <c r="H18" s="151"/>
      <c r="I18" s="151"/>
      <c r="J18" s="154"/>
      <c r="K18" s="151"/>
      <c r="L18" s="151"/>
      <c r="M18" s="151"/>
      <c r="N18" s="151"/>
      <c r="O18" s="151"/>
      <c r="P18" s="151"/>
      <c r="Q18" s="156"/>
      <c r="R18" s="156"/>
      <c r="S18" s="156"/>
    </row>
    <row r="19" spans="2:19" ht="32.25" customHeight="1" x14ac:dyDescent="0.25">
      <c r="B19" s="443"/>
      <c r="C19" s="444"/>
      <c r="D19" s="445" t="s">
        <v>171</v>
      </c>
      <c r="E19" s="151">
        <v>-995484.5</v>
      </c>
      <c r="F19" s="154" t="s">
        <v>366</v>
      </c>
      <c r="G19" s="151"/>
      <c r="H19" s="151">
        <v>1409209.62</v>
      </c>
      <c r="I19" s="151">
        <f>E19</f>
        <v>-995484.5</v>
      </c>
      <c r="J19" s="213" t="s">
        <v>365</v>
      </c>
      <c r="K19" s="151">
        <v>995484.5</v>
      </c>
      <c r="L19" s="151"/>
      <c r="M19" s="151">
        <v>-995484.5</v>
      </c>
      <c r="N19" s="151"/>
      <c r="O19" s="151"/>
      <c r="P19" s="151"/>
      <c r="Q19" s="156"/>
      <c r="R19" s="156"/>
      <c r="S19" s="156"/>
    </row>
    <row r="20" spans="2:19" ht="32.25" hidden="1" customHeight="1" x14ac:dyDescent="0.25">
      <c r="B20" s="443"/>
      <c r="C20" s="444"/>
      <c r="D20" s="445"/>
      <c r="E20" s="151"/>
      <c r="F20" s="154"/>
      <c r="G20" s="151"/>
      <c r="H20" s="151"/>
      <c r="I20" s="151"/>
      <c r="J20" s="213"/>
      <c r="K20" s="151"/>
      <c r="L20" s="151"/>
      <c r="M20" s="151"/>
      <c r="N20" s="151"/>
      <c r="O20" s="151"/>
      <c r="P20" s="151"/>
      <c r="Q20" s="156"/>
      <c r="R20" s="156"/>
      <c r="S20" s="156"/>
    </row>
    <row r="21" spans="2:19" s="173" customFormat="1" ht="32.25" customHeight="1" x14ac:dyDescent="0.25">
      <c r="B21" s="168"/>
      <c r="C21" s="169"/>
      <c r="D21" s="174" t="s">
        <v>24</v>
      </c>
      <c r="E21" s="171"/>
      <c r="F21" s="171"/>
      <c r="G21" s="171"/>
      <c r="H21" s="171"/>
      <c r="I21" s="171"/>
      <c r="J21" s="154"/>
      <c r="K21" s="171"/>
      <c r="L21" s="171"/>
      <c r="M21" s="151"/>
      <c r="N21" s="171"/>
      <c r="O21" s="171"/>
      <c r="P21" s="171"/>
      <c r="Q21" s="172"/>
      <c r="R21" s="172"/>
      <c r="S21" s="172"/>
    </row>
    <row r="22" spans="2:19" ht="42.75" customHeight="1" x14ac:dyDescent="0.25">
      <c r="B22" s="443"/>
      <c r="C22" s="444"/>
      <c r="D22" s="445" t="s">
        <v>365</v>
      </c>
      <c r="E22" s="151">
        <v>995484.5</v>
      </c>
      <c r="F22" s="445" t="s">
        <v>365</v>
      </c>
      <c r="G22" s="151">
        <f>E22</f>
        <v>995484.5</v>
      </c>
      <c r="H22" s="151"/>
      <c r="I22" s="151">
        <f>E22</f>
        <v>995484.5</v>
      </c>
      <c r="J22" s="154" t="s">
        <v>366</v>
      </c>
      <c r="K22" s="151"/>
      <c r="L22" s="151">
        <f>G22</f>
        <v>995484.5</v>
      </c>
      <c r="M22" s="151">
        <f>L22</f>
        <v>995484.5</v>
      </c>
      <c r="N22" s="151"/>
      <c r="O22" s="151"/>
      <c r="P22" s="151"/>
      <c r="Q22" s="156"/>
      <c r="R22" s="156"/>
      <c r="S22" s="156"/>
    </row>
    <row r="23" spans="2:19" ht="32.25" customHeight="1" x14ac:dyDescent="0.25">
      <c r="B23" s="443"/>
      <c r="C23" s="444"/>
      <c r="D23" s="445" t="s">
        <v>209</v>
      </c>
      <c r="E23" s="151">
        <f>-908265.15-87234.85</f>
        <v>-995500</v>
      </c>
      <c r="F23" s="274" t="s">
        <v>209</v>
      </c>
      <c r="G23" s="151"/>
      <c r="H23" s="151"/>
      <c r="I23" s="151">
        <f>G23</f>
        <v>0</v>
      </c>
      <c r="J23" s="114" t="s">
        <v>36</v>
      </c>
      <c r="K23" s="151"/>
      <c r="L23" s="151">
        <f>E23*-1</f>
        <v>995500</v>
      </c>
      <c r="M23" s="151">
        <f>E23</f>
        <v>-995500</v>
      </c>
      <c r="N23" s="151"/>
      <c r="O23" s="151">
        <f>M23</f>
        <v>-995500</v>
      </c>
      <c r="P23" s="151"/>
      <c r="Q23" s="156"/>
      <c r="R23" s="156" t="s">
        <v>175</v>
      </c>
      <c r="S23" s="156"/>
    </row>
    <row r="24" spans="2:19" ht="32.25" customHeight="1" x14ac:dyDescent="0.25">
      <c r="B24" s="443"/>
      <c r="C24" s="444"/>
      <c r="D24" s="445" t="s">
        <v>374</v>
      </c>
      <c r="E24" s="151">
        <v>-5540</v>
      </c>
      <c r="F24" s="445" t="s">
        <v>374</v>
      </c>
      <c r="G24" s="151">
        <v>5540</v>
      </c>
      <c r="H24" s="151"/>
      <c r="I24" s="151">
        <f>G24</f>
        <v>5540</v>
      </c>
      <c r="J24" s="114" t="s">
        <v>73</v>
      </c>
      <c r="K24" s="151"/>
      <c r="L24" s="151">
        <v>5540</v>
      </c>
      <c r="M24" s="151"/>
      <c r="N24" s="151">
        <f>L24</f>
        <v>5540</v>
      </c>
      <c r="O24" s="151"/>
      <c r="P24" s="151"/>
      <c r="Q24" s="156"/>
      <c r="R24" s="156"/>
      <c r="S24" s="156"/>
    </row>
    <row r="25" spans="2:19" ht="32.25" customHeight="1" x14ac:dyDescent="0.25">
      <c r="B25" s="443"/>
      <c r="C25" s="444"/>
      <c r="D25" s="445" t="s">
        <v>330</v>
      </c>
      <c r="E25" s="151">
        <v>-61247.95</v>
      </c>
      <c r="F25" s="179" t="s">
        <v>330</v>
      </c>
      <c r="G25" s="151">
        <f>E25*-1</f>
        <v>61247.95</v>
      </c>
      <c r="H25" s="151"/>
      <c r="I25" s="151">
        <f t="shared" ref="I25:I27" si="0">G25</f>
        <v>61247.95</v>
      </c>
      <c r="J25" s="114" t="s">
        <v>269</v>
      </c>
      <c r="K25" s="151"/>
      <c r="L25" s="151">
        <f>G25</f>
        <v>61247.95</v>
      </c>
      <c r="M25" s="151">
        <f>E25</f>
        <v>-61247.95</v>
      </c>
      <c r="N25" s="151"/>
      <c r="O25" s="151"/>
      <c r="P25" s="151"/>
      <c r="Q25" s="156"/>
      <c r="R25" s="156"/>
      <c r="S25" s="156"/>
    </row>
    <row r="26" spans="2:19" ht="32.25" customHeight="1" x14ac:dyDescent="0.25">
      <c r="B26" s="443"/>
      <c r="C26" s="444"/>
      <c r="D26" s="445" t="s">
        <v>469</v>
      </c>
      <c r="E26" s="151">
        <v>-1129283.3700000001</v>
      </c>
      <c r="F26" s="179" t="s">
        <v>469</v>
      </c>
      <c r="G26" s="151">
        <f>E26*-1</f>
        <v>1129283.3700000001</v>
      </c>
      <c r="H26" s="151"/>
      <c r="I26" s="151">
        <f t="shared" si="0"/>
        <v>1129283.3700000001</v>
      </c>
      <c r="J26" s="114" t="s">
        <v>468</v>
      </c>
      <c r="K26" s="151"/>
      <c r="L26" s="151">
        <f>G26</f>
        <v>1129283.3700000001</v>
      </c>
      <c r="M26" s="151">
        <f t="shared" ref="M26:M27" si="1">E26</f>
        <v>-1129283.3700000001</v>
      </c>
      <c r="N26" s="151"/>
      <c r="O26" s="151"/>
      <c r="P26" s="151"/>
      <c r="Q26" s="156"/>
      <c r="R26" s="156"/>
      <c r="S26" s="156"/>
    </row>
    <row r="27" spans="2:19" ht="32.25" customHeight="1" x14ac:dyDescent="0.25">
      <c r="B27" s="443"/>
      <c r="C27" s="444"/>
      <c r="D27" s="445" t="s">
        <v>213</v>
      </c>
      <c r="E27" s="151">
        <v>-10151.5</v>
      </c>
      <c r="F27" s="179" t="s">
        <v>213</v>
      </c>
      <c r="G27" s="151">
        <f>E27*-1</f>
        <v>10151.5</v>
      </c>
      <c r="H27" s="151"/>
      <c r="I27" s="151">
        <f t="shared" si="0"/>
        <v>10151.5</v>
      </c>
      <c r="J27" s="114" t="s">
        <v>470</v>
      </c>
      <c r="K27" s="151"/>
      <c r="L27" s="151">
        <f>G27</f>
        <v>10151.5</v>
      </c>
      <c r="M27" s="151">
        <f t="shared" si="1"/>
        <v>-10151.5</v>
      </c>
      <c r="N27" s="151"/>
      <c r="O27" s="151"/>
      <c r="P27" s="151"/>
      <c r="Q27" s="156"/>
      <c r="R27" s="156"/>
      <c r="S27" s="156"/>
    </row>
    <row r="28" spans="2:19" ht="30.75" customHeight="1" x14ac:dyDescent="0.25">
      <c r="B28" s="443"/>
      <c r="C28" s="444"/>
      <c r="D28" s="174" t="s">
        <v>54</v>
      </c>
      <c r="E28" s="151"/>
      <c r="F28" s="445"/>
      <c r="G28" s="151"/>
      <c r="H28" s="151"/>
      <c r="I28" s="151"/>
      <c r="J28" s="154"/>
      <c r="K28" s="151"/>
      <c r="L28" s="151"/>
      <c r="M28" s="151"/>
      <c r="N28" s="151"/>
      <c r="O28" s="151"/>
      <c r="P28" s="151"/>
      <c r="Q28" s="156"/>
      <c r="R28" s="156"/>
      <c r="S28" s="156"/>
    </row>
    <row r="29" spans="2:19" ht="15.75" hidden="1" customHeight="1" x14ac:dyDescent="0.25">
      <c r="B29" s="443"/>
      <c r="C29" s="444"/>
      <c r="D29" s="445" t="s">
        <v>47</v>
      </c>
      <c r="E29" s="151"/>
      <c r="F29" s="175"/>
      <c r="G29" s="153"/>
      <c r="H29" s="151"/>
      <c r="I29" s="151"/>
      <c r="J29" s="154" t="s">
        <v>226</v>
      </c>
      <c r="K29" s="163"/>
      <c r="L29" s="151"/>
      <c r="M29" s="151"/>
      <c r="N29" s="151">
        <f>K29*-1</f>
        <v>0</v>
      </c>
      <c r="O29" s="151"/>
      <c r="P29" s="151"/>
      <c r="Q29" s="156"/>
      <c r="R29" s="156"/>
      <c r="S29" s="156"/>
    </row>
    <row r="30" spans="2:19" ht="32.25" hidden="1" customHeight="1" x14ac:dyDescent="0.25">
      <c r="B30" s="443"/>
      <c r="C30" s="444"/>
      <c r="D30" s="176" t="s">
        <v>44</v>
      </c>
      <c r="E30" s="163"/>
      <c r="F30" s="246"/>
      <c r="G30" s="177"/>
      <c r="H30" s="151"/>
      <c r="I30" s="151"/>
      <c r="J30" s="154" t="s">
        <v>44</v>
      </c>
      <c r="K30" s="151"/>
      <c r="L30" s="151"/>
      <c r="M30" s="151"/>
      <c r="N30" s="151"/>
      <c r="O30" s="151"/>
      <c r="P30" s="151"/>
      <c r="Q30" s="156"/>
      <c r="R30" s="156"/>
      <c r="S30" s="156"/>
    </row>
    <row r="31" spans="2:19" ht="31.5" hidden="1" customHeight="1" x14ac:dyDescent="0.25">
      <c r="B31" s="443"/>
      <c r="C31" s="444"/>
      <c r="D31" s="445" t="s">
        <v>247</v>
      </c>
      <c r="E31" s="163"/>
      <c r="F31" s="211"/>
      <c r="G31" s="153"/>
      <c r="H31" s="151"/>
      <c r="I31" s="151"/>
      <c r="J31" s="154" t="s">
        <v>247</v>
      </c>
      <c r="K31" s="151"/>
      <c r="L31" s="151"/>
      <c r="M31" s="151"/>
      <c r="N31" s="151"/>
      <c r="O31" s="151"/>
      <c r="P31" s="151"/>
      <c r="Q31" s="156"/>
      <c r="R31" s="156"/>
      <c r="S31" s="156"/>
    </row>
    <row r="32" spans="2:19" s="173" customFormat="1" ht="31.5" hidden="1" customHeight="1" x14ac:dyDescent="0.25">
      <c r="B32" s="168"/>
      <c r="C32" s="169"/>
      <c r="D32" s="445" t="s">
        <v>216</v>
      </c>
      <c r="E32" s="163"/>
      <c r="F32" s="212"/>
      <c r="G32" s="178"/>
      <c r="H32" s="171"/>
      <c r="I32" s="151"/>
      <c r="J32" s="154" t="s">
        <v>216</v>
      </c>
      <c r="K32" s="151"/>
      <c r="L32" s="171"/>
      <c r="M32" s="151"/>
      <c r="N32" s="151"/>
      <c r="O32" s="151"/>
      <c r="P32" s="171"/>
      <c r="Q32" s="172"/>
      <c r="R32" s="172"/>
      <c r="S32" s="172"/>
    </row>
    <row r="33" spans="2:19" ht="15.75" hidden="1" customHeight="1" x14ac:dyDescent="0.25">
      <c r="B33" s="443"/>
      <c r="C33" s="444"/>
      <c r="D33" s="445" t="s">
        <v>32</v>
      </c>
      <c r="E33" s="163"/>
      <c r="F33" s="211"/>
      <c r="G33" s="153"/>
      <c r="H33" s="151"/>
      <c r="I33" s="151"/>
      <c r="J33" s="154" t="s">
        <v>32</v>
      </c>
      <c r="K33" s="151"/>
      <c r="L33" s="151"/>
      <c r="M33" s="151"/>
      <c r="N33" s="151"/>
      <c r="O33" s="151"/>
      <c r="P33" s="151"/>
      <c r="Q33" s="156"/>
      <c r="R33" s="156"/>
      <c r="S33" s="156"/>
    </row>
    <row r="34" spans="2:19" ht="15.75" hidden="1" customHeight="1" x14ac:dyDescent="0.25">
      <c r="B34" s="443"/>
      <c r="C34" s="444"/>
      <c r="D34" s="444" t="s">
        <v>248</v>
      </c>
      <c r="E34" s="163"/>
      <c r="F34" s="211"/>
      <c r="G34" s="153"/>
      <c r="H34" s="151"/>
      <c r="I34" s="151"/>
      <c r="J34" s="154" t="s">
        <v>248</v>
      </c>
      <c r="K34" s="151"/>
      <c r="L34" s="151"/>
      <c r="M34" s="151"/>
      <c r="N34" s="151"/>
      <c r="O34" s="151"/>
      <c r="P34" s="151"/>
      <c r="Q34" s="156"/>
      <c r="R34" s="156"/>
      <c r="S34" s="156"/>
    </row>
    <row r="35" spans="2:19" s="173" customFormat="1" ht="32.25" customHeight="1" x14ac:dyDescent="0.25">
      <c r="B35" s="168"/>
      <c r="C35" s="169"/>
      <c r="D35" s="447" t="s">
        <v>180</v>
      </c>
      <c r="E35" s="171"/>
      <c r="F35" s="171"/>
      <c r="G35" s="171"/>
      <c r="H35" s="171"/>
      <c r="I35" s="171"/>
      <c r="J35" s="212"/>
      <c r="K35" s="171"/>
      <c r="L35" s="171"/>
      <c r="M35" s="171"/>
      <c r="N35" s="171"/>
      <c r="O35" s="171"/>
      <c r="P35" s="171"/>
      <c r="Q35" s="172"/>
      <c r="R35" s="172"/>
      <c r="S35" s="172"/>
    </row>
    <row r="36" spans="2:19" x14ac:dyDescent="0.25">
      <c r="B36" s="443"/>
      <c r="C36" s="444"/>
      <c r="D36" s="445" t="s">
        <v>387</v>
      </c>
      <c r="E36" s="151">
        <f>-3463014.04-19124.89-2150165.69-2062828.45-25826-399739.81-1388428</f>
        <v>-9509126.879999999</v>
      </c>
      <c r="F36" s="151"/>
      <c r="G36" s="151"/>
      <c r="H36" s="151"/>
      <c r="I36" s="151">
        <f>H36</f>
        <v>0</v>
      </c>
      <c r="J36" s="154" t="s">
        <v>68</v>
      </c>
      <c r="K36" s="151"/>
      <c r="L36" s="151">
        <f>E36*-1</f>
        <v>9509126.879999999</v>
      </c>
      <c r="M36" s="151">
        <f>-L36</f>
        <v>-9509126.879999999</v>
      </c>
      <c r="N36" s="151"/>
      <c r="O36" s="151">
        <f>+M36</f>
        <v>-9509126.879999999</v>
      </c>
      <c r="P36" s="151"/>
      <c r="Q36" s="156"/>
      <c r="R36" s="156"/>
      <c r="S36" s="156"/>
    </row>
    <row r="37" spans="2:19" ht="32.25" customHeight="1" x14ac:dyDescent="0.25">
      <c r="B37" s="443"/>
      <c r="C37" s="444"/>
      <c r="D37" s="445" t="s">
        <v>183</v>
      </c>
      <c r="E37" s="151">
        <f>8103.18+3463014.04+19124.89+5036.67+2150165.69+2081756.77+261089.57+502687.04+1388428</f>
        <v>9879405.8499999996</v>
      </c>
      <c r="F37" s="151"/>
      <c r="G37" s="151"/>
      <c r="H37" s="151"/>
      <c r="I37" s="151">
        <f>G37*-1</f>
        <v>0</v>
      </c>
      <c r="J37" s="154" t="s">
        <v>182</v>
      </c>
      <c r="K37" s="151">
        <f>E37</f>
        <v>9879405.8499999996</v>
      </c>
      <c r="L37" s="151"/>
      <c r="M37" s="163"/>
      <c r="N37" s="151">
        <f>K37*-1</f>
        <v>-9879405.8499999996</v>
      </c>
      <c r="O37" s="151">
        <f>E37</f>
        <v>9879405.8499999996</v>
      </c>
      <c r="P37" s="151"/>
      <c r="Q37" s="156"/>
      <c r="R37" s="156"/>
      <c r="S37" s="156"/>
    </row>
    <row r="38" spans="2:19" ht="31.5" x14ac:dyDescent="0.25">
      <c r="B38" s="443"/>
      <c r="C38" s="444"/>
      <c r="D38" s="445" t="s">
        <v>451</v>
      </c>
      <c r="E38" s="151">
        <v>40374.65</v>
      </c>
      <c r="F38" s="154" t="s">
        <v>453</v>
      </c>
      <c r="G38" s="151"/>
      <c r="H38" s="151">
        <v>40374.65</v>
      </c>
      <c r="I38" s="151">
        <f>H38*-1</f>
        <v>-40374.65</v>
      </c>
      <c r="J38" s="154" t="s">
        <v>452</v>
      </c>
      <c r="K38" s="151">
        <v>40374.65</v>
      </c>
      <c r="L38" s="151"/>
      <c r="M38" s="151"/>
      <c r="N38" s="151">
        <f>K38*-1</f>
        <v>-40374.65</v>
      </c>
      <c r="O38" s="151"/>
      <c r="P38" s="151"/>
      <c r="Q38" s="156"/>
      <c r="R38" s="156"/>
      <c r="S38" s="156"/>
    </row>
    <row r="39" spans="2:19" x14ac:dyDescent="0.25">
      <c r="B39" s="443"/>
      <c r="C39" s="444"/>
      <c r="D39" s="445" t="s">
        <v>451</v>
      </c>
      <c r="E39" s="151">
        <v>54843.75</v>
      </c>
      <c r="F39" s="151" t="s">
        <v>42</v>
      </c>
      <c r="G39" s="151"/>
      <c r="H39" s="151">
        <v>54843.75</v>
      </c>
      <c r="I39" s="151">
        <f>H39*-1</f>
        <v>-54843.75</v>
      </c>
      <c r="J39" s="154" t="s">
        <v>452</v>
      </c>
      <c r="K39" s="151">
        <v>54843.75</v>
      </c>
      <c r="L39" s="151"/>
      <c r="M39" s="151"/>
      <c r="N39" s="151">
        <f>K39*-1</f>
        <v>-54843.75</v>
      </c>
      <c r="O39" s="151"/>
      <c r="P39" s="151"/>
      <c r="Q39" s="156"/>
      <c r="R39" s="156"/>
      <c r="S39" s="156"/>
    </row>
    <row r="40" spans="2:19" x14ac:dyDescent="0.25">
      <c r="B40" s="443"/>
      <c r="C40" s="444"/>
      <c r="D40" s="445" t="s">
        <v>451</v>
      </c>
      <c r="E40" s="151">
        <v>248183.44</v>
      </c>
      <c r="F40" s="151" t="s">
        <v>34</v>
      </c>
      <c r="G40" s="151"/>
      <c r="H40" s="151">
        <v>248183.44</v>
      </c>
      <c r="I40" s="151">
        <f>H40*-1</f>
        <v>-248183.44</v>
      </c>
      <c r="J40" s="154" t="s">
        <v>452</v>
      </c>
      <c r="K40" s="151">
        <v>248183.44</v>
      </c>
      <c r="L40" s="151"/>
      <c r="M40" s="151"/>
      <c r="N40" s="151">
        <f>K40*-1</f>
        <v>-248183.44</v>
      </c>
      <c r="O40" s="151"/>
      <c r="P40" s="151"/>
      <c r="Q40" s="156"/>
      <c r="R40" s="156"/>
      <c r="S40" s="156"/>
    </row>
    <row r="41" spans="2:19" hidden="1" x14ac:dyDescent="0.25">
      <c r="B41" s="443"/>
      <c r="C41" s="444"/>
      <c r="D41" s="447" t="s">
        <v>200</v>
      </c>
      <c r="E41" s="151"/>
      <c r="F41" s="151"/>
      <c r="G41" s="151"/>
      <c r="H41" s="151"/>
      <c r="I41" s="151"/>
      <c r="J41" s="154"/>
      <c r="K41" s="151"/>
      <c r="L41" s="151"/>
      <c r="M41" s="151"/>
      <c r="N41" s="151"/>
      <c r="O41" s="151"/>
      <c r="P41" s="151"/>
      <c r="Q41" s="156"/>
      <c r="R41" s="156"/>
      <c r="S41" s="156"/>
    </row>
    <row r="42" spans="2:19" hidden="1" x14ac:dyDescent="0.25">
      <c r="B42" s="443"/>
      <c r="C42" s="444"/>
      <c r="D42" s="445" t="s">
        <v>201</v>
      </c>
      <c r="E42" s="151"/>
      <c r="F42" s="151"/>
      <c r="G42" s="151"/>
      <c r="H42" s="151"/>
      <c r="I42" s="151"/>
      <c r="J42" s="154" t="s">
        <v>190</v>
      </c>
      <c r="K42" s="163">
        <f>E42</f>
        <v>0</v>
      </c>
      <c r="L42" s="151"/>
      <c r="M42" s="151"/>
      <c r="N42" s="151">
        <f>-K42</f>
        <v>0</v>
      </c>
      <c r="O42" s="151">
        <f>E42</f>
        <v>0</v>
      </c>
      <c r="P42" s="151"/>
      <c r="Q42" s="156"/>
      <c r="R42" s="156"/>
      <c r="S42" s="156"/>
    </row>
    <row r="43" spans="2:19" ht="31.5" hidden="1" x14ac:dyDescent="0.25">
      <c r="B43" s="443"/>
      <c r="C43" s="444"/>
      <c r="D43" s="445" t="s">
        <v>207</v>
      </c>
      <c r="E43" s="151"/>
      <c r="F43" s="151"/>
      <c r="G43" s="151"/>
      <c r="H43" s="151"/>
      <c r="I43" s="151"/>
      <c r="J43" s="154" t="s">
        <v>173</v>
      </c>
      <c r="K43" s="151"/>
      <c r="L43" s="163"/>
      <c r="M43" s="151"/>
      <c r="N43" s="151">
        <f>L43</f>
        <v>0</v>
      </c>
      <c r="O43" s="151">
        <f>E43</f>
        <v>0</v>
      </c>
      <c r="P43" s="151"/>
      <c r="Q43" s="156"/>
      <c r="R43" s="156"/>
      <c r="S43" s="156"/>
    </row>
    <row r="44" spans="2:19" ht="24.75" hidden="1" customHeight="1" x14ac:dyDescent="0.25">
      <c r="B44" s="443"/>
      <c r="C44" s="444"/>
      <c r="D44" s="445" t="s">
        <v>227</v>
      </c>
      <c r="E44" s="151"/>
      <c r="F44" s="151"/>
      <c r="G44" s="151"/>
      <c r="H44" s="151"/>
      <c r="I44" s="151"/>
      <c r="J44" s="154" t="s">
        <v>190</v>
      </c>
      <c r="K44" s="163"/>
      <c r="L44" s="151"/>
      <c r="M44" s="151"/>
      <c r="N44" s="151">
        <f>-K44</f>
        <v>0</v>
      </c>
      <c r="O44" s="151">
        <f>E44</f>
        <v>0</v>
      </c>
      <c r="P44" s="151"/>
      <c r="Q44" s="156"/>
      <c r="R44" s="156"/>
      <c r="S44" s="156"/>
    </row>
    <row r="45" spans="2:19" ht="25.5" hidden="1" customHeight="1" x14ac:dyDescent="0.25">
      <c r="B45" s="443"/>
      <c r="C45" s="444"/>
      <c r="D45" s="445" t="s">
        <v>227</v>
      </c>
      <c r="E45" s="151"/>
      <c r="F45" s="151"/>
      <c r="G45" s="151"/>
      <c r="H45" s="151"/>
      <c r="I45" s="151"/>
      <c r="J45" s="154" t="s">
        <v>226</v>
      </c>
      <c r="K45" s="151"/>
      <c r="L45" s="163"/>
      <c r="M45" s="151"/>
      <c r="N45" s="151">
        <f>L45</f>
        <v>0</v>
      </c>
      <c r="O45" s="151">
        <f>E45</f>
        <v>0</v>
      </c>
      <c r="P45" s="151"/>
      <c r="Q45" s="156"/>
      <c r="R45" s="156"/>
      <c r="S45" s="156"/>
    </row>
    <row r="46" spans="2:19" ht="25.5" hidden="1" customHeight="1" x14ac:dyDescent="0.25">
      <c r="B46" s="443"/>
      <c r="C46" s="444"/>
      <c r="D46" s="445" t="s">
        <v>241</v>
      </c>
      <c r="E46" s="151"/>
      <c r="F46" s="151"/>
      <c r="G46" s="151"/>
      <c r="H46" s="151"/>
      <c r="I46" s="151"/>
      <c r="J46" s="154" t="s">
        <v>47</v>
      </c>
      <c r="K46" s="151"/>
      <c r="L46" s="163"/>
      <c r="M46" s="151"/>
      <c r="N46" s="151">
        <f>L46</f>
        <v>0</v>
      </c>
      <c r="O46" s="151">
        <f>E46</f>
        <v>0</v>
      </c>
      <c r="P46" s="151"/>
      <c r="Q46" s="156"/>
      <c r="R46" s="156"/>
      <c r="S46" s="156"/>
    </row>
    <row r="47" spans="2:19" ht="25.5" hidden="1" customHeight="1" x14ac:dyDescent="0.25">
      <c r="B47" s="443"/>
      <c r="C47" s="444"/>
      <c r="D47" s="445" t="s">
        <v>266</v>
      </c>
      <c r="E47" s="151"/>
      <c r="F47" s="151"/>
      <c r="G47" s="151"/>
      <c r="H47" s="151"/>
      <c r="I47" s="151"/>
      <c r="J47" s="154" t="s">
        <v>267</v>
      </c>
      <c r="K47" s="151"/>
      <c r="L47" s="163"/>
      <c r="M47" s="151"/>
      <c r="N47" s="151">
        <f>K47*-1</f>
        <v>0</v>
      </c>
      <c r="O47" s="151">
        <f t="shared" ref="O47:O51" si="2">E47</f>
        <v>0</v>
      </c>
      <c r="P47" s="151"/>
      <c r="Q47" s="156"/>
      <c r="R47" s="156"/>
      <c r="S47" s="156"/>
    </row>
    <row r="48" spans="2:19" ht="49.5" hidden="1" customHeight="1" x14ac:dyDescent="0.25">
      <c r="B48" s="443"/>
      <c r="C48" s="444"/>
      <c r="D48" s="179" t="s">
        <v>281</v>
      </c>
      <c r="E48" s="151"/>
      <c r="F48" s="151"/>
      <c r="G48" s="151"/>
      <c r="H48" s="151"/>
      <c r="I48" s="445"/>
      <c r="J48" s="445" t="s">
        <v>128</v>
      </c>
      <c r="K48" s="151"/>
      <c r="L48" s="163"/>
      <c r="M48" s="151"/>
      <c r="N48" s="151">
        <f>-E48</f>
        <v>0</v>
      </c>
      <c r="O48" s="151">
        <f t="shared" si="2"/>
        <v>0</v>
      </c>
      <c r="P48" s="151"/>
      <c r="Q48" s="156"/>
      <c r="R48" s="156"/>
      <c r="S48" s="156"/>
    </row>
    <row r="49" spans="2:20" ht="49.5" hidden="1" customHeight="1" x14ac:dyDescent="0.25">
      <c r="B49" s="443"/>
      <c r="C49" s="444"/>
      <c r="D49" s="179"/>
      <c r="E49" s="151"/>
      <c r="F49" s="151"/>
      <c r="G49" s="151"/>
      <c r="H49" s="151"/>
      <c r="I49" s="445"/>
      <c r="J49" s="179"/>
      <c r="K49" s="151"/>
      <c r="L49" s="151"/>
      <c r="M49" s="151"/>
      <c r="N49" s="151"/>
      <c r="O49" s="151"/>
      <c r="P49" s="151"/>
      <c r="Q49" s="156"/>
      <c r="R49" s="156"/>
      <c r="S49" s="156"/>
    </row>
    <row r="50" spans="2:20" ht="49.5" hidden="1" customHeight="1" x14ac:dyDescent="0.25">
      <c r="B50" s="443"/>
      <c r="C50" s="444"/>
      <c r="D50" s="179" t="s">
        <v>287</v>
      </c>
      <c r="E50" s="151"/>
      <c r="F50" s="151"/>
      <c r="G50" s="151"/>
      <c r="H50" s="151"/>
      <c r="I50" s="445"/>
      <c r="J50" s="179" t="s">
        <v>286</v>
      </c>
      <c r="K50" s="151"/>
      <c r="L50" s="151"/>
      <c r="M50" s="151"/>
      <c r="N50" s="151"/>
      <c r="O50" s="151">
        <f t="shared" si="2"/>
        <v>0</v>
      </c>
      <c r="P50" s="151"/>
      <c r="Q50" s="156"/>
      <c r="R50" s="156"/>
      <c r="S50" s="156"/>
    </row>
    <row r="51" spans="2:20" ht="49.5" hidden="1" customHeight="1" x14ac:dyDescent="0.25">
      <c r="B51" s="443"/>
      <c r="C51" s="444"/>
      <c r="D51" s="179" t="s">
        <v>288</v>
      </c>
      <c r="E51" s="151"/>
      <c r="F51" s="151"/>
      <c r="G51" s="151"/>
      <c r="H51" s="151"/>
      <c r="I51" s="445"/>
      <c r="J51" s="179" t="s">
        <v>289</v>
      </c>
      <c r="K51" s="151"/>
      <c r="L51" s="151"/>
      <c r="M51" s="151"/>
      <c r="N51" s="151"/>
      <c r="O51" s="151">
        <f t="shared" si="2"/>
        <v>0</v>
      </c>
      <c r="P51" s="151"/>
      <c r="Q51" s="156"/>
      <c r="R51" s="156"/>
      <c r="S51" s="156"/>
    </row>
    <row r="52" spans="2:20" s="165" customFormat="1" ht="32.25" customHeight="1" x14ac:dyDescent="0.25">
      <c r="B52" s="126" t="s">
        <v>461</v>
      </c>
      <c r="C52" s="447"/>
      <c r="D52" s="448"/>
      <c r="E52" s="163">
        <f>E9+E11+E17</f>
        <v>20465343.579999998</v>
      </c>
      <c r="F52" s="163">
        <f>SUM(F9:F36)</f>
        <v>0</v>
      </c>
      <c r="G52" s="163"/>
      <c r="H52" s="163"/>
      <c r="I52" s="163">
        <f>SUM(I17+I11)</f>
        <v>862820.98000000021</v>
      </c>
      <c r="J52" s="446">
        <f>SUM(J9:J36)</f>
        <v>0</v>
      </c>
      <c r="K52" s="163"/>
      <c r="L52" s="163"/>
      <c r="M52" s="163">
        <f>M17+M11</f>
        <v>-11705309.699999999</v>
      </c>
      <c r="N52" s="163">
        <f>N17+N11</f>
        <v>-10217267.689999999</v>
      </c>
      <c r="O52" s="163">
        <f>SUM(O9:O51)</f>
        <v>-625221.02999999933</v>
      </c>
      <c r="P52" s="163">
        <f>SUM(P9:P36)</f>
        <v>0</v>
      </c>
      <c r="Q52" s="164"/>
      <c r="R52" s="164"/>
      <c r="S52" s="164"/>
    </row>
    <row r="53" spans="2:20" x14ac:dyDescent="0.25">
      <c r="B53" s="173"/>
      <c r="E53" s="156">
        <f>E52-[34]FC7SGE!$J$15</f>
        <v>0</v>
      </c>
      <c r="F53" s="180"/>
      <c r="I53" s="167">
        <f>G52-H52</f>
        <v>0</v>
      </c>
      <c r="J53" s="214"/>
      <c r="K53" s="156"/>
      <c r="L53" s="156"/>
      <c r="M53" s="156"/>
      <c r="N53" s="156"/>
      <c r="O53" s="156"/>
      <c r="P53" s="156"/>
      <c r="Q53" s="156"/>
      <c r="R53" s="156"/>
      <c r="S53" s="156"/>
    </row>
    <row r="54" spans="2:20" ht="24" customHeight="1" x14ac:dyDescent="0.25">
      <c r="B54" s="173"/>
      <c r="D54" s="155" t="s">
        <v>74</v>
      </c>
      <c r="F54" s="180"/>
      <c r="G54" s="233"/>
      <c r="I54" s="167"/>
      <c r="J54" s="148" t="s">
        <v>76</v>
      </c>
      <c r="K54" s="156"/>
      <c r="L54" s="156"/>
      <c r="M54" s="156"/>
      <c r="N54" s="167"/>
      <c r="O54" s="155" t="s">
        <v>77</v>
      </c>
      <c r="P54" s="156"/>
      <c r="Q54" s="156"/>
      <c r="R54" s="156"/>
      <c r="S54" s="156"/>
    </row>
    <row r="55" spans="2:20" ht="24" customHeight="1" x14ac:dyDescent="0.25">
      <c r="D55" s="148" t="s">
        <v>78</v>
      </c>
      <c r="E55" s="156">
        <f>E52</f>
        <v>20465343.579999998</v>
      </c>
      <c r="I55" s="167"/>
      <c r="J55" s="214"/>
      <c r="K55" s="156" t="s">
        <v>79</v>
      </c>
      <c r="M55" s="156">
        <f>M52</f>
        <v>-11705309.699999999</v>
      </c>
      <c r="N55" s="156"/>
      <c r="O55" s="156"/>
      <c r="P55" s="156"/>
      <c r="Q55" s="156"/>
      <c r="R55" s="156"/>
      <c r="S55" s="156"/>
    </row>
    <row r="56" spans="2:20" ht="24" customHeight="1" x14ac:dyDescent="0.25">
      <c r="D56" s="148" t="s">
        <v>80</v>
      </c>
      <c r="E56" s="181">
        <f>E9</f>
        <v>21953385.59</v>
      </c>
      <c r="G56" s="233"/>
      <c r="J56" s="214"/>
      <c r="K56" s="156" t="s">
        <v>81</v>
      </c>
      <c r="M56" s="181">
        <f>N52</f>
        <v>-10217267.689999999</v>
      </c>
      <c r="N56" s="156"/>
      <c r="O56" s="156"/>
      <c r="P56" s="156"/>
      <c r="Q56" s="156"/>
      <c r="R56" s="156"/>
      <c r="S56" s="156"/>
    </row>
    <row r="57" spans="2:20" ht="24" customHeight="1" x14ac:dyDescent="0.25">
      <c r="D57" s="148" t="s">
        <v>82</v>
      </c>
      <c r="E57" s="164">
        <f>+E55-E56</f>
        <v>-1488042.0100000016</v>
      </c>
      <c r="G57" s="233"/>
      <c r="I57" s="166"/>
      <c r="J57" s="214"/>
      <c r="K57" s="156" t="s">
        <v>84</v>
      </c>
      <c r="M57" s="164">
        <f>M55-M56</f>
        <v>-1488042.0099999998</v>
      </c>
      <c r="N57" s="156"/>
      <c r="O57" s="156" t="s">
        <v>84</v>
      </c>
      <c r="P57" s="164">
        <f>O52</f>
        <v>-625221.02999999933</v>
      </c>
      <c r="Q57" s="156"/>
      <c r="R57" s="156"/>
      <c r="S57" s="156"/>
    </row>
    <row r="58" spans="2:20" x14ac:dyDescent="0.25">
      <c r="G58" s="156"/>
      <c r="I58" s="167"/>
      <c r="J58" s="214"/>
      <c r="K58" s="156" t="s">
        <v>85</v>
      </c>
      <c r="L58" s="156"/>
      <c r="M58" s="156"/>
      <c r="N58" s="164">
        <f>M55-M56</f>
        <v>-1488042.0099999998</v>
      </c>
      <c r="O58" s="156"/>
      <c r="P58" s="156"/>
      <c r="Q58" s="156"/>
      <c r="R58" s="156"/>
      <c r="S58" s="156"/>
    </row>
    <row r="59" spans="2:20" x14ac:dyDescent="0.25">
      <c r="D59" s="167"/>
      <c r="E59" s="182"/>
      <c r="G59" s="156"/>
      <c r="J59" s="214"/>
      <c r="K59" s="156"/>
      <c r="L59" s="156"/>
      <c r="M59" s="156"/>
      <c r="N59" s="156">
        <f>E57-N58</f>
        <v>-1.862645149230957E-9</v>
      </c>
      <c r="O59" s="156"/>
      <c r="P59" s="183"/>
      <c r="Q59" s="183"/>
      <c r="R59" s="183" t="s">
        <v>86</v>
      </c>
      <c r="S59" s="183" t="s">
        <v>87</v>
      </c>
      <c r="T59" s="184" t="s">
        <v>185</v>
      </c>
    </row>
    <row r="60" spans="2:20" x14ac:dyDescent="0.25">
      <c r="E60" s="185"/>
      <c r="G60" s="156"/>
      <c r="J60" s="214"/>
      <c r="K60" s="156"/>
      <c r="L60" s="156"/>
      <c r="M60" s="156"/>
      <c r="N60" s="156"/>
      <c r="O60" s="156"/>
      <c r="P60" s="183" t="s">
        <v>186</v>
      </c>
      <c r="Q60" s="183">
        <f>-4074405.47</f>
        <v>-4074405.47</v>
      </c>
      <c r="R60" s="184"/>
      <c r="S60" s="183"/>
      <c r="T60" s="184"/>
    </row>
    <row r="61" spans="2:20" x14ac:dyDescent="0.25">
      <c r="D61" s="155" t="s">
        <v>88</v>
      </c>
      <c r="G61" s="166"/>
      <c r="J61" s="214"/>
      <c r="K61" s="156" t="s">
        <v>89</v>
      </c>
      <c r="L61" s="156"/>
      <c r="M61" s="156"/>
      <c r="N61" s="156"/>
      <c r="O61" s="156"/>
      <c r="P61" s="183" t="s">
        <v>155</v>
      </c>
      <c r="Q61" s="183">
        <f>22029704.73-16100096.25</f>
        <v>5929608.4800000004</v>
      </c>
      <c r="R61" s="183">
        <v>-16100096.25</v>
      </c>
      <c r="S61" s="183">
        <v>0</v>
      </c>
      <c r="T61" s="183">
        <v>22029704.73</v>
      </c>
    </row>
    <row r="62" spans="2:20" x14ac:dyDescent="0.25">
      <c r="J62" s="214"/>
      <c r="K62" s="156"/>
      <c r="L62" s="156"/>
      <c r="M62" s="156"/>
      <c r="N62" s="156"/>
      <c r="O62" s="156"/>
      <c r="P62" s="183" t="s">
        <v>156</v>
      </c>
      <c r="Q62" s="183">
        <f>SUM(Q60:Q61)</f>
        <v>1855203.0100000002</v>
      </c>
      <c r="R62" s="183">
        <f>Q60+R61</f>
        <v>-20174501.719999999</v>
      </c>
      <c r="S62" s="183">
        <f>R62+S61</f>
        <v>-20174501.719999999</v>
      </c>
      <c r="T62" s="186">
        <f>S62+T61</f>
        <v>1855203.0100000016</v>
      </c>
    </row>
    <row r="63" spans="2:20" x14ac:dyDescent="0.25">
      <c r="J63" s="214"/>
      <c r="K63" s="156"/>
      <c r="L63" s="156"/>
      <c r="M63" s="156"/>
      <c r="N63" s="156"/>
      <c r="O63" s="156"/>
      <c r="P63" s="183"/>
      <c r="Q63" s="183"/>
      <c r="R63" s="183"/>
      <c r="S63" s="183"/>
      <c r="T63" s="184"/>
    </row>
    <row r="64" spans="2:20" ht="16.5" x14ac:dyDescent="0.25">
      <c r="D64" s="190" t="s">
        <v>208</v>
      </c>
      <c r="E64" s="187"/>
      <c r="F64" s="187"/>
      <c r="J64" s="215"/>
      <c r="K64" s="521" t="s">
        <v>90</v>
      </c>
      <c r="L64" s="521"/>
      <c r="M64" s="521"/>
      <c r="N64" s="188"/>
      <c r="O64" s="188"/>
      <c r="P64" s="189"/>
      <c r="Q64" s="183"/>
      <c r="R64" s="183"/>
      <c r="S64" s="183"/>
      <c r="T64" s="184"/>
    </row>
    <row r="65" spans="4:19" x14ac:dyDescent="0.25">
      <c r="D65" s="158" t="s">
        <v>91</v>
      </c>
      <c r="E65" s="158"/>
      <c r="F65" s="158"/>
      <c r="J65" s="214"/>
      <c r="K65" s="158" t="s">
        <v>92</v>
      </c>
      <c r="L65" s="158"/>
      <c r="M65" s="158"/>
      <c r="N65" s="156"/>
      <c r="O65" s="156"/>
      <c r="P65" s="156"/>
      <c r="Q65" s="156"/>
      <c r="R65" s="156"/>
      <c r="S65" s="156"/>
    </row>
    <row r="72" spans="4:19" x14ac:dyDescent="0.25">
      <c r="E72" s="155"/>
      <c r="J72" s="214"/>
    </row>
    <row r="73" spans="4:19" x14ac:dyDescent="0.25">
      <c r="E73" s="155"/>
      <c r="J73" s="214"/>
    </row>
    <row r="74" spans="4:19" x14ac:dyDescent="0.25">
      <c r="E74" s="155"/>
      <c r="J74" s="214"/>
    </row>
  </sheetData>
  <mergeCells count="8">
    <mergeCell ref="O6:P8"/>
    <mergeCell ref="F7:I7"/>
    <mergeCell ref="J7:N7"/>
    <mergeCell ref="B9:D9"/>
    <mergeCell ref="K64:M64"/>
    <mergeCell ref="B6:D8"/>
    <mergeCell ref="E6:E8"/>
    <mergeCell ref="F6:N6"/>
  </mergeCells>
  <pageMargins left="0.59055118110236227" right="0.59055118110236227" top="0.74803149606299213" bottom="0.74803149606299213" header="0.31496062992125984" footer="0.31496062992125984"/>
  <pageSetup paperSize="9" scale="43" fitToHeight="0" orientation="landscape" r:id="rId1"/>
  <colBreaks count="1" manualBreakCount="1">
    <brk id="1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53"/>
  <sheetViews>
    <sheetView view="pageBreakPreview" zoomScale="85" zoomScaleNormal="85" zoomScaleSheetLayoutView="85" workbookViewId="0">
      <selection activeCell="J33" sqref="J33"/>
    </sheetView>
  </sheetViews>
  <sheetFormatPr defaultColWidth="9.140625" defaultRowHeight="15" x14ac:dyDescent="0.2"/>
  <cols>
    <col min="1" max="1" width="2.28515625" style="35" customWidth="1"/>
    <col min="2" max="2" width="4.42578125" style="35" customWidth="1"/>
    <col min="3" max="3" width="70.5703125" style="35" bestFit="1" customWidth="1"/>
    <col min="4" max="4" width="24.85546875" style="36" customWidth="1"/>
    <col min="5" max="5" width="33" style="35" bestFit="1" customWidth="1"/>
    <col min="6" max="6" width="18.28515625" style="35" bestFit="1" customWidth="1"/>
    <col min="7" max="7" width="14.28515625" style="35" bestFit="1" customWidth="1"/>
    <col min="8" max="8" width="19.5703125" style="35" customWidth="1"/>
    <col min="9" max="9" width="22.28515625" style="35" customWidth="1"/>
    <col min="10" max="10" width="18.140625" style="35" bestFit="1" customWidth="1"/>
    <col min="11" max="11" width="18.28515625" style="35" bestFit="1" customWidth="1"/>
    <col min="12" max="12" width="20.42578125" style="35" customWidth="1"/>
    <col min="13" max="13" width="12.42578125" style="35" customWidth="1"/>
    <col min="14" max="14" width="15.42578125" style="35" hidden="1" customWidth="1"/>
    <col min="15" max="15" width="24.28515625" style="35" hidden="1" customWidth="1"/>
    <col min="16" max="16" width="15.28515625" style="35" customWidth="1"/>
    <col min="17" max="17" width="17.7109375" style="35" customWidth="1"/>
    <col min="18" max="16384" width="9.140625" style="35"/>
  </cols>
  <sheetData>
    <row r="1" spans="1:20" ht="15.75" x14ac:dyDescent="0.25">
      <c r="A1" s="34" t="s">
        <v>0</v>
      </c>
    </row>
    <row r="2" spans="1:20" ht="15.75" x14ac:dyDescent="0.25">
      <c r="A2" s="34" t="s">
        <v>1</v>
      </c>
      <c r="B2" s="34"/>
    </row>
    <row r="3" spans="1:20" ht="15.75" x14ac:dyDescent="0.25">
      <c r="A3" s="34" t="str">
        <f>' FC 7 2024'!B3</f>
        <v>As of December 31, 2024</v>
      </c>
      <c r="B3" s="34"/>
    </row>
    <row r="4" spans="1:20" ht="15.75" x14ac:dyDescent="0.25">
      <c r="A4" s="34" t="s">
        <v>141</v>
      </c>
      <c r="B4" s="34"/>
    </row>
    <row r="5" spans="1:20" ht="15.75" x14ac:dyDescent="0.25">
      <c r="A5" s="34"/>
      <c r="B5" s="34"/>
    </row>
    <row r="6" spans="1:20" ht="15.75" customHeight="1" x14ac:dyDescent="0.25">
      <c r="A6" s="496" t="s">
        <v>3</v>
      </c>
      <c r="B6" s="496"/>
      <c r="C6" s="496"/>
      <c r="D6" s="497" t="s">
        <v>4</v>
      </c>
      <c r="E6" s="498" t="s">
        <v>5</v>
      </c>
      <c r="F6" s="498"/>
      <c r="G6" s="498"/>
      <c r="H6" s="498"/>
      <c r="I6" s="498"/>
      <c r="J6" s="498"/>
      <c r="K6" s="498"/>
      <c r="L6" s="498"/>
      <c r="M6" s="498"/>
      <c r="N6" s="499" t="s">
        <v>137</v>
      </c>
      <c r="O6" s="500"/>
      <c r="P6" s="499" t="s">
        <v>194</v>
      </c>
      <c r="Q6" s="500"/>
    </row>
    <row r="7" spans="1:20" ht="15.75" x14ac:dyDescent="0.25">
      <c r="A7" s="496"/>
      <c r="B7" s="496"/>
      <c r="C7" s="496"/>
      <c r="D7" s="497"/>
      <c r="E7" s="505" t="s">
        <v>7</v>
      </c>
      <c r="F7" s="506"/>
      <c r="G7" s="506"/>
      <c r="H7" s="507"/>
      <c r="I7" s="498" t="s">
        <v>8</v>
      </c>
      <c r="J7" s="498"/>
      <c r="K7" s="498"/>
      <c r="L7" s="498"/>
      <c r="M7" s="498"/>
      <c r="N7" s="501"/>
      <c r="O7" s="502"/>
      <c r="P7" s="501"/>
      <c r="Q7" s="502"/>
    </row>
    <row r="8" spans="1:20" s="38" customFormat="1" ht="45" x14ac:dyDescent="0.25">
      <c r="A8" s="496"/>
      <c r="B8" s="496"/>
      <c r="C8" s="496"/>
      <c r="D8" s="497"/>
      <c r="E8" s="37" t="s">
        <v>9</v>
      </c>
      <c r="F8" s="37" t="s">
        <v>10</v>
      </c>
      <c r="G8" s="37" t="s">
        <v>11</v>
      </c>
      <c r="H8" s="37" t="s">
        <v>12</v>
      </c>
      <c r="I8" s="37" t="s">
        <v>9</v>
      </c>
      <c r="J8" s="37" t="s">
        <v>10</v>
      </c>
      <c r="K8" s="37" t="s">
        <v>11</v>
      </c>
      <c r="L8" s="37" t="s">
        <v>13</v>
      </c>
      <c r="M8" s="37" t="s">
        <v>14</v>
      </c>
      <c r="N8" s="503"/>
      <c r="O8" s="504"/>
      <c r="P8" s="503"/>
      <c r="Q8" s="504"/>
    </row>
    <row r="9" spans="1:20" ht="15.75" x14ac:dyDescent="0.25">
      <c r="A9" s="39" t="str">
        <f>'FC1 2024'!A9:C9</f>
        <v>Accumulated Surplus/(Deficit), Beginning Balance 1/1/2024</v>
      </c>
      <c r="B9" s="40"/>
      <c r="C9" s="41"/>
      <c r="D9" s="42">
        <v>605907.75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spans="1:20" x14ac:dyDescent="0.2">
      <c r="A10" s="44"/>
      <c r="B10" s="40"/>
      <c r="C10" s="41"/>
      <c r="D10" s="42"/>
      <c r="E10" s="43"/>
      <c r="F10" s="43"/>
      <c r="G10" s="43"/>
      <c r="H10" s="43"/>
      <c r="I10" s="42"/>
      <c r="J10" s="42"/>
      <c r="K10" s="42"/>
      <c r="L10" s="42"/>
      <c r="M10" s="42"/>
      <c r="N10" s="42"/>
      <c r="O10" s="42"/>
      <c r="P10" s="42"/>
      <c r="Q10" s="42"/>
      <c r="R10" s="36"/>
      <c r="S10" s="36"/>
      <c r="T10" s="36"/>
    </row>
    <row r="11" spans="1:20" s="34" customFormat="1" ht="15.75" x14ac:dyDescent="0.25">
      <c r="A11" s="39"/>
      <c r="B11" s="45" t="s">
        <v>16</v>
      </c>
      <c r="C11" s="46"/>
      <c r="D11" s="47"/>
      <c r="E11" s="47"/>
      <c r="F11" s="47"/>
      <c r="G11" s="47"/>
      <c r="H11" s="47">
        <f>SUM(H12:H19)</f>
        <v>0</v>
      </c>
      <c r="I11" s="47"/>
      <c r="J11" s="47"/>
      <c r="K11" s="47"/>
      <c r="L11" s="47"/>
      <c r="M11" s="47"/>
      <c r="N11" s="47"/>
      <c r="O11" s="47"/>
      <c r="P11" s="47"/>
      <c r="Q11" s="47"/>
      <c r="R11" s="48"/>
      <c r="S11" s="48"/>
      <c r="T11" s="48"/>
    </row>
    <row r="12" spans="1:20" hidden="1" x14ac:dyDescent="0.2">
      <c r="A12" s="44"/>
      <c r="B12" s="40"/>
      <c r="C12" s="41" t="s">
        <v>17</v>
      </c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36"/>
      <c r="S12" s="36"/>
      <c r="T12" s="36"/>
    </row>
    <row r="13" spans="1:20" ht="15.75" hidden="1" x14ac:dyDescent="0.25">
      <c r="A13" s="44"/>
      <c r="B13" s="40"/>
      <c r="C13" s="49" t="s">
        <v>108</v>
      </c>
      <c r="D13" s="47"/>
      <c r="E13" s="42" t="s">
        <v>142</v>
      </c>
      <c r="F13" s="42"/>
      <c r="G13" s="42"/>
      <c r="H13" s="42">
        <f>+G13-F13</f>
        <v>0</v>
      </c>
      <c r="I13" s="42" t="s">
        <v>143</v>
      </c>
      <c r="J13" s="42"/>
      <c r="K13" s="42"/>
      <c r="L13" s="42">
        <f>+J13-K13</f>
        <v>0</v>
      </c>
      <c r="M13" s="42"/>
      <c r="N13" s="50"/>
      <c r="O13" s="42"/>
      <c r="P13" s="42"/>
      <c r="Q13" s="42"/>
      <c r="R13" s="36"/>
      <c r="S13" s="36"/>
      <c r="T13" s="36"/>
    </row>
    <row r="14" spans="1:20" ht="15.75" hidden="1" x14ac:dyDescent="0.25">
      <c r="A14" s="44"/>
      <c r="B14" s="40"/>
      <c r="C14" s="49" t="s">
        <v>144</v>
      </c>
      <c r="D14" s="47"/>
      <c r="E14" s="42" t="s">
        <v>145</v>
      </c>
      <c r="F14" s="42"/>
      <c r="G14" s="42"/>
      <c r="H14" s="42">
        <f t="shared" ref="H14:H18" si="0">+G14-F14</f>
        <v>0</v>
      </c>
      <c r="I14" s="42" t="s">
        <v>143</v>
      </c>
      <c r="J14" s="42"/>
      <c r="K14" s="42"/>
      <c r="L14" s="42">
        <f>+J14-K14</f>
        <v>0</v>
      </c>
      <c r="M14" s="42"/>
      <c r="N14" s="42"/>
      <c r="O14" s="42"/>
      <c r="P14" s="42"/>
      <c r="Q14" s="42"/>
      <c r="R14" s="36"/>
      <c r="S14" s="36"/>
      <c r="T14" s="36"/>
    </row>
    <row r="15" spans="1:20" ht="15.75" hidden="1" x14ac:dyDescent="0.25">
      <c r="A15" s="44"/>
      <c r="B15" s="40"/>
      <c r="C15" s="49" t="s">
        <v>135</v>
      </c>
      <c r="D15" s="47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36"/>
      <c r="S15" s="36"/>
      <c r="T15" s="36"/>
    </row>
    <row r="16" spans="1:20" ht="15.75" hidden="1" x14ac:dyDescent="0.25">
      <c r="A16" s="44"/>
      <c r="B16" s="40"/>
      <c r="C16" s="41" t="s">
        <v>134</v>
      </c>
      <c r="D16" s="47"/>
      <c r="E16" s="42"/>
      <c r="F16" s="42"/>
      <c r="G16" s="42"/>
      <c r="H16" s="42">
        <f t="shared" si="0"/>
        <v>0</v>
      </c>
      <c r="I16" s="42"/>
      <c r="J16" s="42"/>
      <c r="K16" s="42"/>
      <c r="L16" s="42"/>
      <c r="M16" s="42"/>
      <c r="N16" s="42"/>
      <c r="O16" s="42"/>
      <c r="P16" s="42"/>
      <c r="Q16" s="42"/>
      <c r="R16" s="36"/>
      <c r="S16" s="36"/>
      <c r="T16" s="36"/>
    </row>
    <row r="17" spans="1:20" ht="15.75" hidden="1" x14ac:dyDescent="0.25">
      <c r="A17" s="44"/>
      <c r="B17" s="40"/>
      <c r="C17" s="49" t="s">
        <v>133</v>
      </c>
      <c r="D17" s="47"/>
      <c r="E17" s="42" t="s">
        <v>146</v>
      </c>
      <c r="F17" s="42"/>
      <c r="G17" s="42"/>
      <c r="H17" s="42">
        <f t="shared" si="0"/>
        <v>0</v>
      </c>
      <c r="I17" s="42" t="s">
        <v>73</v>
      </c>
      <c r="J17" s="42"/>
      <c r="K17" s="42"/>
      <c r="L17" s="42"/>
      <c r="M17" s="42">
        <f>+K17-J17</f>
        <v>0</v>
      </c>
      <c r="N17" s="42"/>
      <c r="O17" s="42"/>
      <c r="P17" s="42"/>
      <c r="Q17" s="42"/>
      <c r="R17" s="36"/>
      <c r="S17" s="36"/>
      <c r="T17" s="36"/>
    </row>
    <row r="18" spans="1:20" ht="15.75" hidden="1" x14ac:dyDescent="0.25">
      <c r="A18" s="44"/>
      <c r="B18" s="40"/>
      <c r="C18" s="49" t="s">
        <v>132</v>
      </c>
      <c r="D18" s="47"/>
      <c r="E18" s="42" t="s">
        <v>145</v>
      </c>
      <c r="F18" s="42"/>
      <c r="G18" s="42"/>
      <c r="H18" s="42">
        <f t="shared" si="0"/>
        <v>0</v>
      </c>
      <c r="I18" s="42" t="s">
        <v>143</v>
      </c>
      <c r="J18" s="42"/>
      <c r="K18" s="42"/>
      <c r="L18" s="42">
        <f>+J18-K18</f>
        <v>0</v>
      </c>
      <c r="M18" s="42"/>
      <c r="N18" s="42"/>
      <c r="O18" s="42"/>
      <c r="P18" s="42"/>
      <c r="Q18" s="42"/>
      <c r="R18" s="36"/>
      <c r="S18" s="36"/>
      <c r="T18" s="36"/>
    </row>
    <row r="19" spans="1:20" ht="15.75" hidden="1" x14ac:dyDescent="0.25">
      <c r="A19" s="44"/>
      <c r="B19" s="40"/>
      <c r="C19" s="49" t="s">
        <v>135</v>
      </c>
      <c r="D19" s="47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36"/>
      <c r="S19" s="36"/>
      <c r="T19" s="36"/>
    </row>
    <row r="20" spans="1:20" s="34" customFormat="1" ht="15.75" x14ac:dyDescent="0.25">
      <c r="A20" s="39"/>
      <c r="B20" s="45" t="s">
        <v>23</v>
      </c>
      <c r="C20" s="46"/>
      <c r="D20" s="47"/>
      <c r="E20" s="47">
        <f>SUM(E21:E25)</f>
        <v>0</v>
      </c>
      <c r="F20" s="47"/>
      <c r="G20" s="47"/>
      <c r="H20" s="47">
        <f>SUM(H21:H35)</f>
        <v>0</v>
      </c>
      <c r="I20" s="47"/>
      <c r="J20" s="47"/>
      <c r="K20" s="47"/>
      <c r="L20" s="47">
        <v>0</v>
      </c>
      <c r="M20" s="47"/>
      <c r="N20" s="47"/>
      <c r="O20" s="47"/>
      <c r="P20" s="47"/>
      <c r="Q20" s="47"/>
      <c r="R20" s="48"/>
      <c r="S20" s="48"/>
      <c r="T20" s="48"/>
    </row>
    <row r="21" spans="1:20" ht="15.75" hidden="1" x14ac:dyDescent="0.25">
      <c r="A21" s="44"/>
      <c r="B21" s="40"/>
      <c r="C21" s="41" t="s">
        <v>24</v>
      </c>
      <c r="D21" s="47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36"/>
      <c r="S21" s="36"/>
      <c r="T21" s="36"/>
    </row>
    <row r="22" spans="1:20" ht="15.75" hidden="1" x14ac:dyDescent="0.25">
      <c r="A22" s="44"/>
      <c r="B22" s="40"/>
      <c r="C22" s="49" t="s">
        <v>147</v>
      </c>
      <c r="D22" s="47"/>
      <c r="E22" s="42" t="s">
        <v>148</v>
      </c>
      <c r="F22" s="42"/>
      <c r="G22" s="42"/>
      <c r="H22" s="42">
        <f>+F22-G22</f>
        <v>0</v>
      </c>
      <c r="I22" s="42" t="s">
        <v>73</v>
      </c>
      <c r="J22" s="42"/>
      <c r="K22" s="42"/>
      <c r="L22" s="42"/>
      <c r="M22" s="42">
        <f>+K22-J22</f>
        <v>0</v>
      </c>
      <c r="N22" s="42"/>
      <c r="O22" s="42"/>
      <c r="P22" s="42"/>
      <c r="Q22" s="42"/>
      <c r="R22" s="36"/>
      <c r="S22" s="36"/>
      <c r="T22" s="36"/>
    </row>
    <row r="23" spans="1:20" hidden="1" x14ac:dyDescent="0.2">
      <c r="A23" s="44"/>
      <c r="B23" s="40"/>
      <c r="C23" s="49" t="s">
        <v>149</v>
      </c>
      <c r="D23" s="42"/>
      <c r="E23" s="42"/>
      <c r="F23" s="42"/>
      <c r="G23" s="42"/>
      <c r="H23" s="42">
        <f t="shared" ref="H23:H32" si="1">+F23-G23</f>
        <v>0</v>
      </c>
      <c r="I23" s="42" t="s">
        <v>150</v>
      </c>
      <c r="J23" s="42"/>
      <c r="K23" s="42"/>
      <c r="L23" s="42">
        <f>-K23</f>
        <v>0</v>
      </c>
      <c r="M23" s="42">
        <f t="shared" ref="M23" si="2">+K23-J23</f>
        <v>0</v>
      </c>
      <c r="N23" s="42"/>
      <c r="O23" s="42"/>
      <c r="P23" s="42"/>
      <c r="Q23" s="42"/>
      <c r="R23" s="36"/>
      <c r="S23" s="36"/>
      <c r="T23" s="36"/>
    </row>
    <row r="24" spans="1:20" ht="15.75" hidden="1" x14ac:dyDescent="0.25">
      <c r="A24" s="44"/>
      <c r="B24" s="40"/>
      <c r="C24" s="49" t="s">
        <v>135</v>
      </c>
      <c r="D24" s="47"/>
      <c r="E24" s="42"/>
      <c r="F24" s="42"/>
      <c r="G24" s="42"/>
      <c r="H24" s="42">
        <f t="shared" si="1"/>
        <v>0</v>
      </c>
      <c r="I24" s="42"/>
      <c r="J24" s="42"/>
      <c r="K24" s="42"/>
      <c r="L24" s="42"/>
      <c r="M24" s="42"/>
      <c r="N24" s="42"/>
      <c r="O24" s="42"/>
      <c r="P24" s="42"/>
      <c r="Q24" s="42"/>
      <c r="R24" s="36"/>
      <c r="S24" s="36"/>
      <c r="T24" s="36"/>
    </row>
    <row r="25" spans="1:20" ht="15.75" hidden="1" x14ac:dyDescent="0.25">
      <c r="A25" s="44"/>
      <c r="B25" s="40"/>
      <c r="C25" s="41" t="s">
        <v>54</v>
      </c>
      <c r="D25" s="47"/>
      <c r="E25" s="42"/>
      <c r="F25" s="42"/>
      <c r="G25" s="42"/>
      <c r="H25" s="42">
        <f t="shared" si="1"/>
        <v>0</v>
      </c>
      <c r="I25" s="42"/>
      <c r="J25" s="42"/>
      <c r="K25" s="42"/>
      <c r="L25" s="42"/>
      <c r="M25" s="42"/>
      <c r="N25" s="42"/>
      <c r="O25" s="42"/>
      <c r="P25" s="42"/>
      <c r="Q25" s="42"/>
      <c r="R25" s="36"/>
      <c r="S25" s="36"/>
      <c r="T25" s="36"/>
    </row>
    <row r="26" spans="1:20" ht="15.75" hidden="1" x14ac:dyDescent="0.25">
      <c r="A26" s="44"/>
      <c r="B26" s="40"/>
      <c r="C26" s="49" t="s">
        <v>122</v>
      </c>
      <c r="D26" s="47"/>
      <c r="E26" s="42" t="s">
        <v>151</v>
      </c>
      <c r="F26" s="42"/>
      <c r="G26" s="42"/>
      <c r="H26" s="42">
        <f t="shared" si="1"/>
        <v>0</v>
      </c>
      <c r="I26" s="42" t="s">
        <v>152</v>
      </c>
      <c r="J26" s="42"/>
      <c r="K26" s="42"/>
      <c r="L26" s="42">
        <f>+J26-K26</f>
        <v>0</v>
      </c>
      <c r="M26" s="42"/>
      <c r="N26" s="42"/>
      <c r="O26" s="42"/>
      <c r="P26" s="42"/>
      <c r="Q26" s="42"/>
      <c r="R26" s="36"/>
      <c r="S26" s="36"/>
      <c r="T26" s="36"/>
    </row>
    <row r="27" spans="1:20" s="34" customFormat="1" ht="15.75" hidden="1" x14ac:dyDescent="0.25">
      <c r="A27" s="39"/>
      <c r="B27" s="45"/>
      <c r="C27" s="49" t="s">
        <v>135</v>
      </c>
      <c r="D27" s="47"/>
      <c r="E27" s="47"/>
      <c r="F27" s="47"/>
      <c r="G27" s="47"/>
      <c r="H27" s="42">
        <f t="shared" si="1"/>
        <v>0</v>
      </c>
      <c r="I27" s="47"/>
      <c r="J27" s="47"/>
      <c r="K27" s="47"/>
      <c r="L27" s="47"/>
      <c r="M27" s="47"/>
      <c r="N27" s="47"/>
      <c r="O27" s="47"/>
      <c r="P27" s="47"/>
      <c r="Q27" s="47"/>
      <c r="R27" s="48"/>
      <c r="S27" s="48"/>
      <c r="T27" s="48"/>
    </row>
    <row r="28" spans="1:20" s="34" customFormat="1" ht="15.75" hidden="1" x14ac:dyDescent="0.25">
      <c r="A28" s="39"/>
      <c r="B28" s="45"/>
      <c r="C28" s="40" t="s">
        <v>58</v>
      </c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8"/>
      <c r="S28" s="48"/>
      <c r="T28" s="48"/>
    </row>
    <row r="29" spans="1:20" ht="15.75" hidden="1" x14ac:dyDescent="0.25">
      <c r="A29" s="44"/>
      <c r="B29" s="45"/>
      <c r="C29" s="49" t="s">
        <v>120</v>
      </c>
      <c r="D29" s="51"/>
      <c r="E29" s="52" t="s">
        <v>153</v>
      </c>
      <c r="F29" s="42"/>
      <c r="G29" s="42"/>
      <c r="H29" s="42">
        <f t="shared" si="1"/>
        <v>0</v>
      </c>
      <c r="I29" s="42" t="s">
        <v>62</v>
      </c>
      <c r="J29" s="42"/>
      <c r="K29" s="42"/>
      <c r="L29" s="42">
        <f>+J29-K29</f>
        <v>0</v>
      </c>
      <c r="M29" s="42"/>
      <c r="N29" s="42"/>
      <c r="O29" s="42"/>
      <c r="P29" s="42"/>
      <c r="Q29" s="42"/>
      <c r="R29" s="36"/>
      <c r="S29" s="36"/>
      <c r="T29" s="36"/>
    </row>
    <row r="30" spans="1:20" ht="15.75" hidden="1" x14ac:dyDescent="0.25">
      <c r="A30" s="44"/>
      <c r="B30" s="45"/>
      <c r="C30" s="49" t="s">
        <v>154</v>
      </c>
      <c r="D30" s="53"/>
      <c r="E30" s="52" t="s">
        <v>153</v>
      </c>
      <c r="F30" s="42">
        <f>D30</f>
        <v>0</v>
      </c>
      <c r="G30" s="42"/>
      <c r="H30" s="42">
        <f t="shared" si="1"/>
        <v>0</v>
      </c>
      <c r="I30" s="42" t="s">
        <v>60</v>
      </c>
      <c r="J30" s="42"/>
      <c r="K30" s="42">
        <f>F30</f>
        <v>0</v>
      </c>
      <c r="L30" s="42">
        <v>0</v>
      </c>
      <c r="M30" s="42"/>
      <c r="N30" s="42"/>
      <c r="O30" s="42"/>
      <c r="P30" s="42"/>
      <c r="Q30" s="42"/>
      <c r="R30" s="36"/>
      <c r="S30" s="36"/>
      <c r="T30" s="36"/>
    </row>
    <row r="31" spans="1:20" ht="15.75" hidden="1" x14ac:dyDescent="0.25">
      <c r="A31" s="44"/>
      <c r="B31" s="45"/>
      <c r="C31" s="49" t="s">
        <v>94</v>
      </c>
      <c r="D31" s="51"/>
      <c r="E31" s="5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 t="s">
        <v>84</v>
      </c>
      <c r="Q31" s="42"/>
      <c r="R31" s="36"/>
      <c r="S31" s="36"/>
      <c r="T31" s="36"/>
    </row>
    <row r="32" spans="1:20" ht="15.75" hidden="1" x14ac:dyDescent="0.25">
      <c r="A32" s="44"/>
      <c r="B32" s="45"/>
      <c r="C32" s="49" t="s">
        <v>135</v>
      </c>
      <c r="D32" s="42"/>
      <c r="E32" s="42"/>
      <c r="F32" s="42"/>
      <c r="G32" s="42"/>
      <c r="H32" s="42">
        <f t="shared" si="1"/>
        <v>0</v>
      </c>
      <c r="I32" s="42"/>
      <c r="J32" s="42"/>
      <c r="K32" s="42"/>
      <c r="L32" s="42"/>
      <c r="M32" s="42"/>
      <c r="N32" s="42"/>
      <c r="O32" s="42"/>
      <c r="P32" s="42"/>
      <c r="Q32" s="42"/>
      <c r="R32" s="36"/>
      <c r="S32" s="36"/>
      <c r="T32" s="36"/>
    </row>
    <row r="33" spans="1:20" ht="15.75" x14ac:dyDescent="0.25">
      <c r="A33" s="44"/>
      <c r="B33" s="45" t="s">
        <v>130</v>
      </c>
      <c r="C33" s="49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36"/>
      <c r="S33" s="36"/>
      <c r="T33" s="36"/>
    </row>
    <row r="34" spans="1:20" ht="15.75" x14ac:dyDescent="0.25">
      <c r="A34" s="44"/>
      <c r="B34" s="45"/>
      <c r="C34" s="49" t="s">
        <v>293</v>
      </c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36"/>
      <c r="S34" s="36"/>
      <c r="T34" s="36"/>
    </row>
    <row r="35" spans="1:20" ht="15.75" x14ac:dyDescent="0.25">
      <c r="A35" s="44"/>
      <c r="B35" s="45"/>
      <c r="C35" s="49" t="s">
        <v>195</v>
      </c>
      <c r="D35" s="42">
        <v>-605907.75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202">
        <f>D35</f>
        <v>-605907.75</v>
      </c>
      <c r="Q35" s="42"/>
      <c r="R35" s="36"/>
      <c r="S35" s="36"/>
      <c r="T35" s="36"/>
    </row>
    <row r="36" spans="1:20" ht="15.75" hidden="1" x14ac:dyDescent="0.25">
      <c r="A36" s="44"/>
      <c r="B36" s="45"/>
      <c r="C36" s="49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202"/>
      <c r="Q36" s="42"/>
      <c r="R36" s="36"/>
      <c r="S36" s="36"/>
      <c r="T36" s="36"/>
    </row>
    <row r="37" spans="1:20" s="34" customFormat="1" ht="15.75" x14ac:dyDescent="0.25">
      <c r="A37" s="39" t="str">
        <f>'FC1 2024'!A123</f>
        <v>Balance as of December 31, 2024</v>
      </c>
      <c r="B37" s="45"/>
      <c r="C37" s="46"/>
      <c r="D37" s="47">
        <f>SUM(D9:D35)</f>
        <v>0</v>
      </c>
      <c r="E37" s="47">
        <f>E9+E28+E20+E11</f>
        <v>0</v>
      </c>
      <c r="F37" s="47"/>
      <c r="G37" s="47"/>
      <c r="H37" s="47">
        <f>+H11+H20</f>
        <v>0</v>
      </c>
      <c r="I37" s="47">
        <f>SUM(I12:I32)</f>
        <v>0</v>
      </c>
      <c r="J37" s="47"/>
      <c r="K37" s="47"/>
      <c r="L37" s="47">
        <f>+L11+L20</f>
        <v>0</v>
      </c>
      <c r="M37" s="47">
        <f>SUM(M11:M32)</f>
        <v>0</v>
      </c>
      <c r="N37" s="47"/>
      <c r="O37" s="47">
        <f>SUM(O11:O32)</f>
        <v>0</v>
      </c>
      <c r="P37" s="47"/>
      <c r="Q37" s="47">
        <f>SUM(Q11:Q32)</f>
        <v>0</v>
      </c>
      <c r="R37" s="48"/>
      <c r="S37" s="48"/>
      <c r="T37" s="48"/>
    </row>
    <row r="38" spans="1:20" x14ac:dyDescent="0.2">
      <c r="A38" s="54" t="s">
        <v>116</v>
      </c>
      <c r="D38" s="36">
        <f>D37-[35]FC1SGE!$M$20</f>
        <v>605907.75</v>
      </c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</row>
    <row r="39" spans="1:20" ht="15.75" x14ac:dyDescent="0.25">
      <c r="A39" s="54"/>
      <c r="C39" s="34" t="s">
        <v>74</v>
      </c>
      <c r="E39" s="34" t="s">
        <v>75</v>
      </c>
      <c r="I39" s="34" t="s">
        <v>76</v>
      </c>
      <c r="J39" s="36"/>
      <c r="K39" s="36"/>
      <c r="L39" s="36"/>
      <c r="M39" s="34"/>
      <c r="N39" s="34"/>
      <c r="O39" s="34"/>
      <c r="P39" s="55" t="s">
        <v>113</v>
      </c>
      <c r="Q39" s="36"/>
      <c r="R39" s="36"/>
      <c r="S39" s="36"/>
      <c r="T39" s="36"/>
    </row>
    <row r="40" spans="1:20" x14ac:dyDescent="0.2">
      <c r="C40" s="56" t="s">
        <v>78</v>
      </c>
      <c r="D40" s="36">
        <f>D37</f>
        <v>0</v>
      </c>
      <c r="I40" s="36"/>
      <c r="J40" s="57" t="s">
        <v>79</v>
      </c>
      <c r="K40" s="58"/>
      <c r="L40" s="36">
        <f>L37</f>
        <v>0</v>
      </c>
      <c r="M40" s="36"/>
      <c r="N40" s="36"/>
      <c r="O40" s="36"/>
      <c r="P40" s="36"/>
      <c r="Q40" s="36"/>
      <c r="R40" s="36"/>
      <c r="S40" s="36"/>
      <c r="T40" s="36"/>
    </row>
    <row r="41" spans="1:20" x14ac:dyDescent="0.2">
      <c r="C41" s="56" t="s">
        <v>80</v>
      </c>
      <c r="D41" s="36">
        <f>D9</f>
        <v>605907.75</v>
      </c>
      <c r="I41" s="36"/>
      <c r="J41" s="57" t="s">
        <v>81</v>
      </c>
      <c r="K41" s="58"/>
      <c r="L41" s="36">
        <f>M37</f>
        <v>0</v>
      </c>
      <c r="M41" s="36"/>
      <c r="N41" s="36"/>
      <c r="O41" s="36"/>
      <c r="P41" s="36"/>
      <c r="Q41" s="36"/>
      <c r="R41" s="36"/>
      <c r="S41" s="36"/>
      <c r="T41" s="36"/>
    </row>
    <row r="42" spans="1:20" ht="15.75" x14ac:dyDescent="0.25">
      <c r="C42" s="59" t="s">
        <v>82</v>
      </c>
      <c r="D42" s="48">
        <f>+D40-D41</f>
        <v>-605907.75</v>
      </c>
      <c r="E42" s="60" t="s">
        <v>83</v>
      </c>
      <c r="H42" s="61">
        <f>+H37</f>
        <v>0</v>
      </c>
      <c r="I42" s="36"/>
      <c r="J42" s="57" t="s">
        <v>84</v>
      </c>
      <c r="K42" s="62"/>
      <c r="L42" s="48">
        <f>P35</f>
        <v>-605907.75</v>
      </c>
      <c r="M42" s="36"/>
      <c r="N42" s="36"/>
      <c r="O42" s="36">
        <f>L40-L41</f>
        <v>0</v>
      </c>
      <c r="P42" s="48" t="s">
        <v>84</v>
      </c>
      <c r="Q42" s="48">
        <f>P35</f>
        <v>-605907.75</v>
      </c>
      <c r="R42" s="36"/>
      <c r="S42" s="36"/>
      <c r="T42" s="36"/>
    </row>
    <row r="43" spans="1:20" ht="15.75" x14ac:dyDescent="0.25">
      <c r="I43" s="36"/>
      <c r="J43" s="63" t="s">
        <v>85</v>
      </c>
      <c r="K43" s="48"/>
      <c r="L43" s="48">
        <f>+L40-L41+L42</f>
        <v>-605907.75</v>
      </c>
      <c r="M43" s="48"/>
      <c r="N43" s="48"/>
      <c r="O43" s="48">
        <f>+L40-L41-O42</f>
        <v>0</v>
      </c>
      <c r="P43" s="36"/>
      <c r="Q43" s="36"/>
      <c r="R43" s="36"/>
      <c r="S43" s="36"/>
      <c r="T43" s="36"/>
    </row>
    <row r="44" spans="1:20" s="64" customFormat="1" x14ac:dyDescent="0.2">
      <c r="D44" s="65"/>
      <c r="E44" s="258"/>
      <c r="I44" s="65"/>
      <c r="J44" s="65"/>
      <c r="K44" s="65"/>
      <c r="L44" s="65">
        <f>D42-L43</f>
        <v>0</v>
      </c>
      <c r="M44" s="65"/>
      <c r="N44" s="65"/>
      <c r="O44" s="65"/>
      <c r="P44" s="65"/>
      <c r="Q44" s="65"/>
      <c r="R44" s="65"/>
      <c r="S44" s="65"/>
      <c r="T44" s="65"/>
    </row>
    <row r="45" spans="1:20" s="64" customFormat="1" x14ac:dyDescent="0.2">
      <c r="D45" s="65"/>
      <c r="E45" s="66">
        <f>D37</f>
        <v>0</v>
      </c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</row>
    <row r="46" spans="1:20" s="64" customFormat="1" ht="15.75" x14ac:dyDescent="0.25">
      <c r="D46" s="65"/>
      <c r="E46" s="67">
        <f>[33]FC1SGE!$J$19</f>
        <v>1060847.8499999975</v>
      </c>
      <c r="I46" s="493"/>
      <c r="J46" s="493"/>
      <c r="K46" s="493"/>
      <c r="L46" s="493"/>
      <c r="M46" s="493"/>
      <c r="N46" s="493"/>
      <c r="O46" s="493"/>
      <c r="P46" s="493"/>
      <c r="Q46" s="493"/>
      <c r="R46" s="65"/>
      <c r="S46" s="65"/>
      <c r="T46" s="65"/>
    </row>
    <row r="47" spans="1:20" s="64" customFormat="1" hidden="1" x14ac:dyDescent="0.2">
      <c r="C47" s="68"/>
      <c r="D47" s="65"/>
      <c r="E47" s="69"/>
      <c r="I47" s="70"/>
      <c r="J47" s="70"/>
      <c r="K47" s="70"/>
      <c r="L47" s="70"/>
      <c r="M47" s="70"/>
      <c r="N47" s="70"/>
      <c r="O47" s="70"/>
      <c r="P47" s="70"/>
      <c r="Q47" s="70"/>
      <c r="R47" s="65"/>
      <c r="S47" s="65"/>
      <c r="T47" s="65"/>
    </row>
    <row r="48" spans="1:20" s="64" customFormat="1" x14ac:dyDescent="0.2">
      <c r="C48" s="68"/>
      <c r="D48" s="65"/>
      <c r="E48" s="66">
        <f>E45-E46</f>
        <v>-1060847.8499999975</v>
      </c>
      <c r="I48" s="70"/>
      <c r="J48" s="70"/>
      <c r="K48" s="70"/>
      <c r="L48" s="70"/>
      <c r="M48" s="70"/>
      <c r="N48" s="70"/>
      <c r="O48" s="70"/>
      <c r="P48" s="70"/>
      <c r="Q48" s="70"/>
      <c r="R48" s="65"/>
      <c r="S48" s="65"/>
      <c r="T48" s="65"/>
    </row>
    <row r="49" spans="4:20" s="71" customFormat="1" ht="16.5" x14ac:dyDescent="0.3">
      <c r="D49" s="72" t="s">
        <v>88</v>
      </c>
      <c r="E49" s="73"/>
      <c r="J49" s="74"/>
      <c r="K49" s="3" t="s">
        <v>89</v>
      </c>
      <c r="L49" s="74"/>
      <c r="M49" s="74"/>
      <c r="N49" s="74"/>
      <c r="O49" s="74"/>
      <c r="P49" s="73" t="s">
        <v>155</v>
      </c>
      <c r="Q49" s="73">
        <f>22029704.73-16100096.25</f>
        <v>5929608.4800000004</v>
      </c>
      <c r="R49" s="73">
        <v>-16100096.25</v>
      </c>
      <c r="S49" s="73">
        <v>0</v>
      </c>
      <c r="T49" s="73">
        <v>22029704.73</v>
      </c>
    </row>
    <row r="50" spans="4:20" s="71" customFormat="1" ht="16.5" x14ac:dyDescent="0.3">
      <c r="E50" s="74"/>
      <c r="J50" s="74"/>
      <c r="K50" s="74"/>
      <c r="L50" s="74"/>
      <c r="M50" s="74"/>
      <c r="N50" s="74"/>
      <c r="O50" s="74"/>
      <c r="P50" s="73" t="s">
        <v>156</v>
      </c>
      <c r="Q50" s="75">
        <f>SUM(Q48:Q49)</f>
        <v>5929608.4800000004</v>
      </c>
      <c r="R50" s="73">
        <f>Q48+R49</f>
        <v>-16100096.25</v>
      </c>
      <c r="S50" s="73">
        <f>R50+S49</f>
        <v>-16100096.25</v>
      </c>
      <c r="T50" s="76">
        <f>S50+T49</f>
        <v>5929608.4800000004</v>
      </c>
    </row>
    <row r="51" spans="4:20" s="71" customFormat="1" ht="16.5" x14ac:dyDescent="0.3">
      <c r="E51" s="74"/>
      <c r="J51" s="74"/>
      <c r="K51" s="74"/>
      <c r="L51" s="74"/>
      <c r="M51" s="74"/>
      <c r="N51" s="74"/>
      <c r="O51" s="74"/>
      <c r="P51" s="73"/>
      <c r="Q51" s="73"/>
      <c r="R51" s="73"/>
      <c r="S51" s="73"/>
      <c r="T51" s="77"/>
    </row>
    <row r="52" spans="4:20" s="71" customFormat="1" ht="16.5" x14ac:dyDescent="0.3">
      <c r="D52" s="494" t="s">
        <v>208</v>
      </c>
      <c r="E52" s="494"/>
      <c r="F52" s="494"/>
      <c r="J52" s="78"/>
      <c r="K52" s="494" t="s">
        <v>90</v>
      </c>
      <c r="L52" s="494"/>
      <c r="M52" s="494"/>
      <c r="N52" s="78"/>
      <c r="O52" s="78"/>
      <c r="P52" s="79"/>
      <c r="Q52" s="73"/>
      <c r="R52" s="73"/>
      <c r="S52" s="73"/>
      <c r="T52" s="77"/>
    </row>
    <row r="53" spans="4:20" s="71" customFormat="1" ht="16.5" x14ac:dyDescent="0.3">
      <c r="D53" s="495" t="s">
        <v>91</v>
      </c>
      <c r="E53" s="495"/>
      <c r="F53" s="495"/>
      <c r="J53" s="80"/>
      <c r="K53" s="495" t="s">
        <v>92</v>
      </c>
      <c r="L53" s="495"/>
      <c r="M53" s="495"/>
      <c r="N53" s="80"/>
      <c r="O53" s="80"/>
      <c r="P53" s="80"/>
      <c r="Q53" s="74"/>
      <c r="R53" s="74"/>
      <c r="S53" s="74"/>
    </row>
  </sheetData>
  <mergeCells count="12">
    <mergeCell ref="A6:C8"/>
    <mergeCell ref="D6:D8"/>
    <mergeCell ref="E6:M6"/>
    <mergeCell ref="N6:O8"/>
    <mergeCell ref="P6:Q8"/>
    <mergeCell ref="E7:H7"/>
    <mergeCell ref="I7:M7"/>
    <mergeCell ref="I46:Q46"/>
    <mergeCell ref="D52:F52"/>
    <mergeCell ref="K52:M52"/>
    <mergeCell ref="D53:F53"/>
    <mergeCell ref="K53:M53"/>
  </mergeCells>
  <printOptions horizontalCentered="1"/>
  <pageMargins left="0" right="0" top="0.75" bottom="0.75" header="0.3" footer="0.3"/>
  <pageSetup paperSize="9" scale="4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46"/>
  <sheetViews>
    <sheetView view="pageBreakPreview" topLeftCell="I1" zoomScale="81" zoomScaleNormal="85" zoomScaleSheetLayoutView="81" workbookViewId="0">
      <selection activeCell="J33" sqref="J33"/>
    </sheetView>
  </sheetViews>
  <sheetFormatPr defaultColWidth="9.140625" defaultRowHeight="15" x14ac:dyDescent="0.2"/>
  <cols>
    <col min="1" max="1" width="2.28515625" style="35" customWidth="1"/>
    <col min="2" max="2" width="22.5703125" style="35" customWidth="1"/>
    <col min="3" max="3" width="39.28515625" style="35" customWidth="1"/>
    <col min="4" max="4" width="17.85546875" style="36" bestFit="1" customWidth="1"/>
    <col min="5" max="5" width="26.140625" style="35" customWidth="1"/>
    <col min="6" max="7" width="14.28515625" style="35" customWidth="1"/>
    <col min="8" max="8" width="17.85546875" style="35" bestFit="1" customWidth="1"/>
    <col min="9" max="9" width="15.85546875" style="35" customWidth="1"/>
    <col min="10" max="10" width="18.42578125" style="35" bestFit="1" customWidth="1"/>
    <col min="11" max="11" width="17" style="35" bestFit="1" customWidth="1"/>
    <col min="12" max="13" width="17.140625" style="35" bestFit="1" customWidth="1"/>
    <col min="14" max="14" width="15.42578125" style="35" hidden="1" customWidth="1"/>
    <col min="15" max="15" width="13.85546875" style="35" hidden="1" customWidth="1"/>
    <col min="16" max="16" width="16.140625" style="35" customWidth="1"/>
    <col min="17" max="17" width="14" style="35" customWidth="1"/>
    <col min="18" max="19" width="14.140625" style="35" bestFit="1" customWidth="1"/>
    <col min="20" max="16384" width="9.140625" style="35"/>
  </cols>
  <sheetData>
    <row r="1" spans="1:20" ht="15.75" x14ac:dyDescent="0.25">
      <c r="A1" s="34" t="s">
        <v>0</v>
      </c>
    </row>
    <row r="2" spans="1:20" ht="15.75" x14ac:dyDescent="0.25">
      <c r="A2" s="34" t="s">
        <v>1</v>
      </c>
      <c r="B2" s="34"/>
    </row>
    <row r="3" spans="1:20" ht="15.75" x14ac:dyDescent="0.25">
      <c r="A3" s="34" t="str">
        <f>' FC 7 2024'!B3</f>
        <v>As of December 31, 2024</v>
      </c>
      <c r="B3" s="34"/>
    </row>
    <row r="4" spans="1:20" ht="15.75" x14ac:dyDescent="0.25">
      <c r="A4" s="34" t="s">
        <v>157</v>
      </c>
      <c r="B4" s="34"/>
    </row>
    <row r="5" spans="1:20" ht="15.75" x14ac:dyDescent="0.25">
      <c r="A5" s="34"/>
      <c r="B5" s="34"/>
    </row>
    <row r="6" spans="1:20" ht="15.75" customHeight="1" x14ac:dyDescent="0.25">
      <c r="A6" s="496" t="s">
        <v>3</v>
      </c>
      <c r="B6" s="496"/>
      <c r="C6" s="496"/>
      <c r="D6" s="497" t="s">
        <v>4</v>
      </c>
      <c r="E6" s="498" t="s">
        <v>5</v>
      </c>
      <c r="F6" s="498"/>
      <c r="G6" s="498"/>
      <c r="H6" s="498"/>
      <c r="I6" s="498"/>
      <c r="J6" s="498"/>
      <c r="K6" s="498"/>
      <c r="L6" s="498"/>
      <c r="M6" s="498"/>
      <c r="N6" s="499" t="s">
        <v>137</v>
      </c>
      <c r="O6" s="500"/>
      <c r="P6" s="499" t="s">
        <v>272</v>
      </c>
      <c r="Q6" s="500"/>
    </row>
    <row r="7" spans="1:20" ht="15.75" x14ac:dyDescent="0.25">
      <c r="A7" s="496"/>
      <c r="B7" s="496"/>
      <c r="C7" s="496"/>
      <c r="D7" s="497"/>
      <c r="E7" s="505" t="s">
        <v>7</v>
      </c>
      <c r="F7" s="506"/>
      <c r="G7" s="506"/>
      <c r="H7" s="507"/>
      <c r="I7" s="498" t="s">
        <v>8</v>
      </c>
      <c r="J7" s="498"/>
      <c r="K7" s="498"/>
      <c r="L7" s="498"/>
      <c r="M7" s="498"/>
      <c r="N7" s="501"/>
      <c r="O7" s="502"/>
      <c r="P7" s="501"/>
      <c r="Q7" s="502"/>
    </row>
    <row r="8" spans="1:20" s="38" customFormat="1" ht="30" x14ac:dyDescent="0.25">
      <c r="A8" s="496"/>
      <c r="B8" s="496"/>
      <c r="C8" s="496"/>
      <c r="D8" s="497"/>
      <c r="E8" s="37" t="s">
        <v>9</v>
      </c>
      <c r="F8" s="37" t="s">
        <v>10</v>
      </c>
      <c r="G8" s="37" t="s">
        <v>11</v>
      </c>
      <c r="H8" s="37" t="s">
        <v>12</v>
      </c>
      <c r="I8" s="37" t="s">
        <v>9</v>
      </c>
      <c r="J8" s="37" t="s">
        <v>10</v>
      </c>
      <c r="K8" s="37" t="s">
        <v>11</v>
      </c>
      <c r="L8" s="37" t="s">
        <v>13</v>
      </c>
      <c r="M8" s="37" t="s">
        <v>14</v>
      </c>
      <c r="N8" s="503"/>
      <c r="O8" s="504"/>
      <c r="P8" s="503"/>
      <c r="Q8" s="504"/>
    </row>
    <row r="9" spans="1:20" ht="15.75" x14ac:dyDescent="0.25">
      <c r="A9" s="39" t="s">
        <v>188</v>
      </c>
      <c r="B9" s="40"/>
      <c r="C9" s="41"/>
      <c r="D9" s="42">
        <v>35450.35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spans="1:20" x14ac:dyDescent="0.2">
      <c r="A10" s="44"/>
      <c r="B10" s="40"/>
      <c r="C10" s="41"/>
      <c r="D10" s="42"/>
      <c r="E10" s="43"/>
      <c r="F10" s="43"/>
      <c r="G10" s="43"/>
      <c r="H10" s="43"/>
      <c r="I10" s="42"/>
      <c r="J10" s="42"/>
      <c r="K10" s="42"/>
      <c r="L10" s="42"/>
      <c r="M10" s="42"/>
      <c r="N10" s="42"/>
      <c r="O10" s="42"/>
      <c r="P10" s="42"/>
      <c r="Q10" s="42"/>
      <c r="R10" s="36"/>
      <c r="S10" s="36"/>
      <c r="T10" s="36"/>
    </row>
    <row r="11" spans="1:20" s="34" customFormat="1" ht="15.75" x14ac:dyDescent="0.25">
      <c r="A11" s="39"/>
      <c r="B11" s="45" t="s">
        <v>16</v>
      </c>
      <c r="C11" s="46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8"/>
      <c r="S11" s="48"/>
      <c r="T11" s="48"/>
    </row>
    <row r="12" spans="1:20" ht="15.75" x14ac:dyDescent="0.25">
      <c r="A12" s="44"/>
      <c r="B12" s="199" t="s">
        <v>196</v>
      </c>
      <c r="C12" s="46" t="s">
        <v>17</v>
      </c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36"/>
      <c r="S12" s="36"/>
      <c r="T12" s="36"/>
    </row>
    <row r="13" spans="1:20" s="209" customFormat="1" ht="48.75" customHeight="1" x14ac:dyDescent="0.25">
      <c r="A13" s="203"/>
      <c r="B13" s="204">
        <v>4020221099</v>
      </c>
      <c r="C13" s="205" t="s">
        <v>142</v>
      </c>
      <c r="D13" s="206">
        <f>3.62-35453.97</f>
        <v>-35450.35</v>
      </c>
      <c r="E13" s="206" t="s">
        <v>142</v>
      </c>
      <c r="F13" s="206"/>
      <c r="G13" s="206">
        <v>3.62</v>
      </c>
      <c r="H13" s="206">
        <v>3.62</v>
      </c>
      <c r="I13" s="257" t="s">
        <v>199</v>
      </c>
      <c r="J13" s="206">
        <v>3.62</v>
      </c>
      <c r="K13" s="206">
        <v>35453.97</v>
      </c>
      <c r="L13" s="206">
        <f>+J13-K13</f>
        <v>-35450.35</v>
      </c>
      <c r="M13" s="206"/>
      <c r="N13" s="207"/>
      <c r="O13" s="206"/>
      <c r="P13" s="206">
        <f>D13</f>
        <v>-35450.35</v>
      </c>
      <c r="Q13" s="206"/>
      <c r="R13" s="208"/>
      <c r="S13" s="208"/>
      <c r="T13" s="208"/>
    </row>
    <row r="14" spans="1:20" ht="15.75" hidden="1" x14ac:dyDescent="0.25">
      <c r="A14" s="44"/>
      <c r="B14" s="40"/>
      <c r="C14" s="49" t="s">
        <v>135</v>
      </c>
      <c r="D14" s="47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36"/>
      <c r="S14" s="36"/>
      <c r="T14" s="36"/>
    </row>
    <row r="15" spans="1:20" ht="15.75" hidden="1" x14ac:dyDescent="0.25">
      <c r="A15" s="44"/>
      <c r="B15" s="40"/>
      <c r="C15" s="41" t="s">
        <v>134</v>
      </c>
      <c r="D15" s="47"/>
      <c r="E15" s="42"/>
      <c r="F15" s="42"/>
      <c r="G15" s="42"/>
      <c r="H15" s="42">
        <f t="shared" ref="H15" si="0">+G15-F15</f>
        <v>0</v>
      </c>
      <c r="I15" s="42"/>
      <c r="J15" s="42"/>
      <c r="K15" s="42"/>
      <c r="L15" s="42"/>
      <c r="M15" s="42"/>
      <c r="N15" s="42"/>
      <c r="O15" s="42"/>
      <c r="P15" s="42"/>
      <c r="Q15" s="42"/>
      <c r="R15" s="36"/>
      <c r="S15" s="36"/>
      <c r="T15" s="36"/>
    </row>
    <row r="16" spans="1:20" ht="15.75" hidden="1" x14ac:dyDescent="0.25">
      <c r="A16" s="44"/>
      <c r="B16" s="40"/>
      <c r="C16" s="49" t="s">
        <v>135</v>
      </c>
      <c r="D16" s="47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36"/>
      <c r="S16" s="36"/>
      <c r="T16" s="36"/>
    </row>
    <row r="17" spans="1:20" s="34" customFormat="1" ht="15.75" hidden="1" x14ac:dyDescent="0.25">
      <c r="A17" s="39"/>
      <c r="B17" s="45" t="s">
        <v>23</v>
      </c>
      <c r="C17" s="46"/>
      <c r="D17" s="47"/>
      <c r="E17" s="47">
        <f>SUM(E18:E22)</f>
        <v>0</v>
      </c>
      <c r="F17" s="47"/>
      <c r="G17" s="47"/>
      <c r="H17" s="47">
        <f>SUM(H18:H30)</f>
        <v>0</v>
      </c>
      <c r="I17" s="47"/>
      <c r="J17" s="47"/>
      <c r="K17" s="47"/>
      <c r="L17" s="47"/>
      <c r="M17" s="47"/>
      <c r="N17" s="47"/>
      <c r="O17" s="47"/>
      <c r="P17" s="47"/>
      <c r="Q17" s="47"/>
      <c r="R17" s="48"/>
      <c r="S17" s="48"/>
      <c r="T17" s="48"/>
    </row>
    <row r="18" spans="1:20" ht="15.75" hidden="1" x14ac:dyDescent="0.25">
      <c r="A18" s="44"/>
      <c r="B18" s="40"/>
      <c r="C18" s="41" t="s">
        <v>24</v>
      </c>
      <c r="D18" s="47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36"/>
      <c r="S18" s="36"/>
      <c r="T18" s="36"/>
    </row>
    <row r="19" spans="1:20" hidden="1" x14ac:dyDescent="0.2">
      <c r="A19" s="44"/>
      <c r="B19" s="40"/>
      <c r="C19" s="49" t="s">
        <v>158</v>
      </c>
      <c r="D19" s="42"/>
      <c r="E19" s="42"/>
      <c r="F19" s="42"/>
      <c r="G19" s="42"/>
      <c r="H19" s="42">
        <f>+F19-G19</f>
        <v>0</v>
      </c>
      <c r="I19" s="42" t="s">
        <v>159</v>
      </c>
      <c r="J19" s="42"/>
      <c r="K19" s="42"/>
      <c r="L19" s="42"/>
      <c r="M19" s="42">
        <f>+K19-J19</f>
        <v>0</v>
      </c>
      <c r="N19" s="42"/>
      <c r="O19" s="42"/>
      <c r="P19" s="42"/>
      <c r="Q19" s="42"/>
      <c r="R19" s="36"/>
      <c r="S19" s="36"/>
      <c r="T19" s="36"/>
    </row>
    <row r="20" spans="1:20" hidden="1" x14ac:dyDescent="0.2">
      <c r="A20" s="44"/>
      <c r="B20" s="40"/>
      <c r="C20" s="49" t="s">
        <v>160</v>
      </c>
      <c r="D20" s="42"/>
      <c r="E20" s="42"/>
      <c r="F20" s="42"/>
      <c r="G20" s="42"/>
      <c r="H20" s="42">
        <f>+F20-G20</f>
        <v>0</v>
      </c>
      <c r="I20" s="42" t="s">
        <v>161</v>
      </c>
      <c r="J20" s="42"/>
      <c r="K20" s="42"/>
      <c r="L20" s="42"/>
      <c r="M20" s="42">
        <f>+K20-J20</f>
        <v>0</v>
      </c>
      <c r="N20" s="42"/>
      <c r="O20" s="42"/>
      <c r="P20" s="42"/>
      <c r="Q20" s="42"/>
      <c r="R20" s="36"/>
      <c r="S20" s="36"/>
      <c r="T20" s="36"/>
    </row>
    <row r="21" spans="1:20" ht="15.75" hidden="1" x14ac:dyDescent="0.25">
      <c r="A21" s="44"/>
      <c r="B21" s="40"/>
      <c r="C21" s="49" t="s">
        <v>135</v>
      </c>
      <c r="D21" s="47"/>
      <c r="E21" s="42"/>
      <c r="F21" s="42"/>
      <c r="G21" s="42"/>
      <c r="H21" s="42">
        <f t="shared" ref="H21:H30" si="1">+F21-G21</f>
        <v>0</v>
      </c>
      <c r="I21" s="42"/>
      <c r="J21" s="42"/>
      <c r="K21" s="42"/>
      <c r="L21" s="42"/>
      <c r="M21" s="42"/>
      <c r="N21" s="42"/>
      <c r="O21" s="42"/>
      <c r="P21" s="42"/>
      <c r="Q21" s="42"/>
      <c r="R21" s="36"/>
      <c r="S21" s="36"/>
      <c r="T21" s="36"/>
    </row>
    <row r="22" spans="1:20" ht="15.75" hidden="1" x14ac:dyDescent="0.25">
      <c r="A22" s="44"/>
      <c r="B22" s="40"/>
      <c r="C22" s="41" t="s">
        <v>54</v>
      </c>
      <c r="D22" s="47"/>
      <c r="E22" s="42"/>
      <c r="F22" s="42"/>
      <c r="G22" s="42"/>
      <c r="H22" s="42">
        <f t="shared" si="1"/>
        <v>0</v>
      </c>
      <c r="I22" s="42"/>
      <c r="J22" s="42"/>
      <c r="K22" s="42"/>
      <c r="L22" s="42"/>
      <c r="M22" s="42"/>
      <c r="N22" s="42"/>
      <c r="O22" s="42"/>
      <c r="P22" s="42"/>
      <c r="Q22" s="42"/>
      <c r="R22" s="36"/>
      <c r="S22" s="36"/>
      <c r="T22" s="36"/>
    </row>
    <row r="23" spans="1:20" hidden="1" x14ac:dyDescent="0.2">
      <c r="A23" s="44"/>
      <c r="B23" s="40"/>
      <c r="C23" s="49" t="s">
        <v>162</v>
      </c>
      <c r="D23" s="42"/>
      <c r="E23" s="42"/>
      <c r="F23" s="42"/>
      <c r="G23" s="42"/>
      <c r="H23" s="42">
        <f t="shared" si="1"/>
        <v>0</v>
      </c>
      <c r="I23" s="42" t="s">
        <v>159</v>
      </c>
      <c r="J23" s="42"/>
      <c r="K23" s="42"/>
      <c r="L23" s="42">
        <f>+J23-K23</f>
        <v>0</v>
      </c>
      <c r="M23" s="42"/>
      <c r="N23" s="42"/>
      <c r="O23" s="42"/>
      <c r="P23" s="42"/>
      <c r="Q23" s="42"/>
      <c r="R23" s="36"/>
      <c r="S23" s="36"/>
      <c r="T23" s="36"/>
    </row>
    <row r="24" spans="1:20" hidden="1" x14ac:dyDescent="0.2">
      <c r="A24" s="44"/>
      <c r="B24" s="40"/>
      <c r="C24" s="49" t="s">
        <v>163</v>
      </c>
      <c r="D24" s="42"/>
      <c r="E24" s="42"/>
      <c r="F24" s="42"/>
      <c r="G24" s="42"/>
      <c r="H24" s="42">
        <f t="shared" si="1"/>
        <v>0</v>
      </c>
      <c r="I24" s="42" t="s">
        <v>143</v>
      </c>
      <c r="J24" s="42"/>
      <c r="K24" s="42"/>
      <c r="L24" s="42">
        <f>+J24-K24</f>
        <v>0</v>
      </c>
      <c r="M24" s="42"/>
      <c r="N24" s="42"/>
      <c r="O24" s="42"/>
      <c r="P24" s="42"/>
      <c r="Q24" s="42"/>
      <c r="R24" s="36"/>
      <c r="S24" s="36"/>
      <c r="T24" s="36"/>
    </row>
    <row r="25" spans="1:20" s="34" customFormat="1" ht="15.75" hidden="1" x14ac:dyDescent="0.25">
      <c r="A25" s="39"/>
      <c r="B25" s="45"/>
      <c r="C25" s="49" t="s">
        <v>135</v>
      </c>
      <c r="D25" s="47"/>
      <c r="E25" s="47"/>
      <c r="F25" s="47"/>
      <c r="G25" s="47"/>
      <c r="H25" s="42">
        <f t="shared" si="1"/>
        <v>0</v>
      </c>
      <c r="I25" s="47"/>
      <c r="J25" s="47"/>
      <c r="K25" s="47"/>
      <c r="L25" s="47"/>
      <c r="M25" s="47"/>
      <c r="N25" s="47"/>
      <c r="O25" s="47"/>
      <c r="P25" s="47"/>
      <c r="Q25" s="47"/>
      <c r="R25" s="48"/>
      <c r="S25" s="48"/>
      <c r="T25" s="48"/>
    </row>
    <row r="26" spans="1:20" s="34" customFormat="1" ht="15.75" hidden="1" x14ac:dyDescent="0.25">
      <c r="A26" s="39"/>
      <c r="B26" s="45"/>
      <c r="C26" s="40" t="s">
        <v>58</v>
      </c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8"/>
      <c r="S26" s="48"/>
      <c r="T26" s="48"/>
    </row>
    <row r="27" spans="1:20" ht="15.75" hidden="1" x14ac:dyDescent="0.25">
      <c r="A27" s="44"/>
      <c r="B27" s="45"/>
      <c r="C27" s="49" t="s">
        <v>120</v>
      </c>
      <c r="D27" s="51"/>
      <c r="E27" s="52"/>
      <c r="F27" s="42"/>
      <c r="G27" s="42"/>
      <c r="H27" s="42">
        <f t="shared" si="1"/>
        <v>0</v>
      </c>
      <c r="I27" s="42" t="s">
        <v>62</v>
      </c>
      <c r="J27" s="42"/>
      <c r="K27" s="42"/>
      <c r="L27" s="42">
        <f>+J27-K27</f>
        <v>0</v>
      </c>
      <c r="M27" s="42"/>
      <c r="N27" s="42"/>
      <c r="O27" s="42"/>
      <c r="P27" s="42"/>
      <c r="Q27" s="42"/>
      <c r="R27" s="36"/>
      <c r="S27" s="36"/>
      <c r="T27" s="36"/>
    </row>
    <row r="28" spans="1:20" ht="15.75" hidden="1" x14ac:dyDescent="0.25">
      <c r="A28" s="44"/>
      <c r="B28" s="45"/>
      <c r="C28" s="49" t="s">
        <v>154</v>
      </c>
      <c r="D28" s="51"/>
      <c r="E28" s="52"/>
      <c r="F28" s="42"/>
      <c r="G28" s="42"/>
      <c r="H28" s="42">
        <f t="shared" si="1"/>
        <v>0</v>
      </c>
      <c r="I28" s="42" t="s">
        <v>60</v>
      </c>
      <c r="J28" s="42"/>
      <c r="K28" s="42"/>
      <c r="L28" s="42">
        <f t="shared" ref="L28" si="2">+J28-K28</f>
        <v>0</v>
      </c>
      <c r="M28" s="42"/>
      <c r="N28" s="42"/>
      <c r="O28" s="42"/>
      <c r="P28" s="42"/>
      <c r="Q28" s="42"/>
      <c r="R28" s="36"/>
      <c r="S28" s="36"/>
      <c r="T28" s="36"/>
    </row>
    <row r="29" spans="1:20" ht="15.75" hidden="1" x14ac:dyDescent="0.25">
      <c r="A29" s="44"/>
      <c r="B29" s="45"/>
      <c r="C29" s="49" t="s">
        <v>94</v>
      </c>
      <c r="D29" s="51"/>
      <c r="E29" s="5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 t="s">
        <v>84</v>
      </c>
      <c r="Q29" s="42"/>
      <c r="R29" s="36"/>
      <c r="S29" s="36"/>
      <c r="T29" s="36"/>
    </row>
    <row r="30" spans="1:20" ht="15.75" hidden="1" x14ac:dyDescent="0.25">
      <c r="A30" s="44"/>
      <c r="B30" s="45"/>
      <c r="C30" s="49" t="s">
        <v>135</v>
      </c>
      <c r="D30" s="42"/>
      <c r="E30" s="42"/>
      <c r="F30" s="42"/>
      <c r="G30" s="42"/>
      <c r="H30" s="42">
        <f t="shared" si="1"/>
        <v>0</v>
      </c>
      <c r="I30" s="42"/>
      <c r="J30" s="42"/>
      <c r="K30" s="42"/>
      <c r="L30" s="42"/>
      <c r="M30" s="42"/>
      <c r="N30" s="42"/>
      <c r="O30" s="42"/>
      <c r="P30" s="42"/>
      <c r="Q30" s="42"/>
      <c r="R30" s="36"/>
      <c r="S30" s="36"/>
      <c r="T30" s="36"/>
    </row>
    <row r="31" spans="1:20" s="34" customFormat="1" ht="27.75" customHeight="1" x14ac:dyDescent="0.25">
      <c r="A31" s="210" t="str">
        <f>'FC1 2024'!A123</f>
        <v>Balance as of December 31, 2024</v>
      </c>
      <c r="B31" s="45"/>
      <c r="C31" s="46"/>
      <c r="D31" s="47">
        <f>SUM(D9:D30)</f>
        <v>0</v>
      </c>
      <c r="E31" s="47">
        <f>E9+E26+E17+E11</f>
        <v>0</v>
      </c>
      <c r="F31" s="47"/>
      <c r="G31" s="47"/>
      <c r="H31" s="47">
        <f>SUM(H9:H30)</f>
        <v>3.62</v>
      </c>
      <c r="I31" s="47">
        <f>SUM(I12:I30)</f>
        <v>0</v>
      </c>
      <c r="J31" s="47"/>
      <c r="K31" s="47"/>
      <c r="L31" s="47">
        <f>SUM(L9:L30)</f>
        <v>-35450.35</v>
      </c>
      <c r="M31" s="47">
        <f>SUM(M9:M30)</f>
        <v>0</v>
      </c>
      <c r="N31" s="47"/>
      <c r="O31" s="47">
        <f>SUM(O11:O30)</f>
        <v>0</v>
      </c>
      <c r="P31" s="47">
        <f>SUM(P11:P30)</f>
        <v>-35450.35</v>
      </c>
      <c r="Q31" s="47">
        <f>SUM(Q11:Q30)</f>
        <v>0</v>
      </c>
      <c r="R31" s="48"/>
      <c r="S31" s="48"/>
      <c r="T31" s="48"/>
    </row>
    <row r="32" spans="1:20" x14ac:dyDescent="0.2">
      <c r="A32" s="54" t="s">
        <v>116</v>
      </c>
      <c r="D32" s="36">
        <f>D31-[36]FC1SGE!$J$15</f>
        <v>0</v>
      </c>
      <c r="G32" s="249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  <row r="33" spans="1:20" ht="15.75" x14ac:dyDescent="0.25">
      <c r="A33" s="54"/>
      <c r="C33" s="34" t="s">
        <v>74</v>
      </c>
      <c r="E33" s="34" t="s">
        <v>75</v>
      </c>
      <c r="I33" s="34" t="s">
        <v>76</v>
      </c>
      <c r="J33" s="36"/>
      <c r="K33" s="36"/>
      <c r="L33" s="36"/>
      <c r="M33" s="34"/>
      <c r="N33" s="34"/>
      <c r="O33" s="34"/>
      <c r="P33" s="55" t="s">
        <v>113</v>
      </c>
      <c r="Q33" s="36"/>
      <c r="R33" s="36"/>
      <c r="S33" s="36"/>
      <c r="T33" s="36"/>
    </row>
    <row r="34" spans="1:20" x14ac:dyDescent="0.2">
      <c r="C34" s="56" t="s">
        <v>78</v>
      </c>
      <c r="D34" s="36">
        <f>D31</f>
        <v>0</v>
      </c>
      <c r="I34" s="36"/>
      <c r="J34" s="57" t="s">
        <v>79</v>
      </c>
      <c r="K34" s="58"/>
      <c r="L34" s="36">
        <f>L31</f>
        <v>-35450.35</v>
      </c>
      <c r="M34" s="36"/>
      <c r="N34" s="36"/>
      <c r="O34" s="36"/>
      <c r="P34" s="36"/>
      <c r="Q34" s="36"/>
      <c r="R34" s="36"/>
      <c r="S34" s="36"/>
      <c r="T34" s="36"/>
    </row>
    <row r="35" spans="1:20" x14ac:dyDescent="0.2">
      <c r="C35" s="56" t="s">
        <v>80</v>
      </c>
      <c r="D35" s="36">
        <f>D9</f>
        <v>35450.35</v>
      </c>
      <c r="I35" s="36"/>
      <c r="J35" s="57" t="s">
        <v>81</v>
      </c>
      <c r="K35" s="58"/>
      <c r="L35" s="36">
        <f>M31</f>
        <v>0</v>
      </c>
      <c r="M35" s="36"/>
      <c r="N35" s="36"/>
      <c r="O35" s="36"/>
      <c r="P35" s="36"/>
      <c r="Q35" s="36"/>
      <c r="R35" s="36"/>
      <c r="S35" s="36"/>
      <c r="T35" s="36"/>
    </row>
    <row r="36" spans="1:20" ht="15.75" x14ac:dyDescent="0.25">
      <c r="C36" s="59" t="s">
        <v>82</v>
      </c>
      <c r="D36" s="48">
        <f>+D34-D35</f>
        <v>-35450.35</v>
      </c>
      <c r="E36" s="60" t="s">
        <v>83</v>
      </c>
      <c r="H36" s="61">
        <f>+H31</f>
        <v>3.62</v>
      </c>
      <c r="I36" s="36"/>
      <c r="J36" s="57" t="s">
        <v>84</v>
      </c>
      <c r="K36" s="62"/>
      <c r="L36" s="48"/>
      <c r="M36" s="36"/>
      <c r="N36" s="36"/>
      <c r="O36" s="36"/>
      <c r="P36" s="48" t="s">
        <v>84</v>
      </c>
      <c r="Q36" s="48">
        <f>P31</f>
        <v>-35450.35</v>
      </c>
      <c r="R36" s="36"/>
      <c r="S36" s="36"/>
      <c r="T36" s="36"/>
    </row>
    <row r="37" spans="1:20" ht="15.75" x14ac:dyDescent="0.25">
      <c r="I37" s="36"/>
      <c r="J37" s="63" t="s">
        <v>85</v>
      </c>
      <c r="K37" s="48"/>
      <c r="L37" s="48">
        <f>L34-L35</f>
        <v>-35450.35</v>
      </c>
      <c r="M37" s="48"/>
      <c r="N37" s="48"/>
      <c r="O37" s="48"/>
      <c r="P37" s="36"/>
      <c r="Q37" s="36"/>
      <c r="R37" s="36"/>
      <c r="S37" s="36"/>
      <c r="T37" s="36"/>
    </row>
    <row r="38" spans="1:20" s="64" customFormat="1" x14ac:dyDescent="0.2">
      <c r="D38" s="65"/>
      <c r="I38" s="65"/>
      <c r="J38" s="65"/>
      <c r="K38" s="65"/>
      <c r="L38" s="65">
        <f>D36-L37</f>
        <v>0</v>
      </c>
      <c r="M38" s="65"/>
      <c r="N38" s="65"/>
      <c r="O38" s="65"/>
      <c r="P38" s="65"/>
      <c r="Q38" s="65"/>
      <c r="R38" s="65"/>
      <c r="S38" s="65"/>
      <c r="T38" s="65"/>
    </row>
    <row r="39" spans="1:20" s="64" customFormat="1" x14ac:dyDescent="0.2">
      <c r="D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</row>
    <row r="40" spans="1:20" s="64" customFormat="1" ht="15.75" x14ac:dyDescent="0.25">
      <c r="C40" s="81"/>
      <c r="D40" s="65"/>
      <c r="I40" s="493"/>
      <c r="J40" s="493"/>
      <c r="K40" s="493"/>
      <c r="L40" s="493"/>
      <c r="M40" s="493"/>
      <c r="N40" s="493"/>
      <c r="O40" s="493"/>
      <c r="P40" s="493"/>
      <c r="Q40" s="493"/>
      <c r="R40" s="65"/>
      <c r="S40" s="65"/>
      <c r="T40" s="65"/>
    </row>
    <row r="41" spans="1:20" s="64" customFormat="1" hidden="1" x14ac:dyDescent="0.2">
      <c r="C41" s="68"/>
      <c r="D41" s="65"/>
      <c r="I41" s="70"/>
      <c r="J41" s="70"/>
      <c r="K41" s="70"/>
      <c r="L41" s="70"/>
      <c r="M41" s="70"/>
      <c r="N41" s="70"/>
      <c r="O41" s="70"/>
      <c r="P41" s="70"/>
      <c r="Q41" s="70"/>
      <c r="R41" s="65"/>
      <c r="S41" s="65"/>
      <c r="T41" s="65"/>
    </row>
    <row r="42" spans="1:20" s="71" customFormat="1" ht="16.5" x14ac:dyDescent="0.3">
      <c r="D42" s="72" t="s">
        <v>88</v>
      </c>
      <c r="E42" s="74"/>
      <c r="J42" s="74"/>
      <c r="K42" s="3" t="s">
        <v>89</v>
      </c>
      <c r="L42" s="74"/>
      <c r="M42" s="74"/>
      <c r="N42" s="74"/>
      <c r="O42" s="74"/>
      <c r="P42" s="73" t="s">
        <v>155</v>
      </c>
      <c r="Q42" s="73">
        <f>22029704.73-16100096.25</f>
        <v>5929608.4800000004</v>
      </c>
      <c r="R42" s="73"/>
      <c r="S42" s="73"/>
      <c r="T42" s="73"/>
    </row>
    <row r="43" spans="1:20" s="71" customFormat="1" ht="16.5" x14ac:dyDescent="0.3">
      <c r="E43" s="74"/>
      <c r="J43" s="74"/>
      <c r="K43" s="74"/>
      <c r="L43" s="74"/>
      <c r="M43" s="74"/>
      <c r="N43" s="74"/>
      <c r="O43" s="74"/>
      <c r="P43" s="73" t="s">
        <v>156</v>
      </c>
      <c r="Q43" s="75">
        <f>SUM(Q41:Q42)</f>
        <v>5929608.4800000004</v>
      </c>
      <c r="R43" s="73"/>
      <c r="S43" s="73"/>
      <c r="T43" s="76"/>
    </row>
    <row r="44" spans="1:20" s="71" customFormat="1" ht="16.5" x14ac:dyDescent="0.3">
      <c r="E44" s="74"/>
      <c r="J44" s="74"/>
      <c r="K44" s="74"/>
      <c r="L44" s="74"/>
      <c r="M44" s="74"/>
      <c r="N44" s="74"/>
      <c r="O44" s="74"/>
      <c r="P44" s="73"/>
      <c r="Q44" s="73"/>
      <c r="R44" s="73"/>
      <c r="S44" s="73"/>
      <c r="T44" s="77"/>
    </row>
    <row r="45" spans="1:20" s="71" customFormat="1" ht="16.5" x14ac:dyDescent="0.3">
      <c r="D45" s="494" t="s">
        <v>208</v>
      </c>
      <c r="E45" s="494"/>
      <c r="F45" s="494"/>
      <c r="J45" s="78"/>
      <c r="K45" s="494" t="s">
        <v>90</v>
      </c>
      <c r="L45" s="494"/>
      <c r="M45" s="494"/>
      <c r="N45" s="78"/>
      <c r="O45" s="78"/>
      <c r="P45" s="79"/>
      <c r="Q45" s="73"/>
      <c r="R45" s="73"/>
      <c r="S45" s="73"/>
      <c r="T45" s="77"/>
    </row>
    <row r="46" spans="1:20" s="71" customFormat="1" ht="16.5" x14ac:dyDescent="0.3">
      <c r="D46" s="495" t="s">
        <v>91</v>
      </c>
      <c r="E46" s="495"/>
      <c r="F46" s="495"/>
      <c r="J46" s="80"/>
      <c r="K46" s="495" t="s">
        <v>92</v>
      </c>
      <c r="L46" s="495"/>
      <c r="M46" s="495"/>
      <c r="N46" s="80"/>
      <c r="O46" s="80"/>
      <c r="P46" s="80"/>
      <c r="Q46" s="74"/>
      <c r="R46" s="74"/>
      <c r="S46" s="74"/>
    </row>
  </sheetData>
  <mergeCells count="12">
    <mergeCell ref="A6:C8"/>
    <mergeCell ref="D6:D8"/>
    <mergeCell ref="E6:M6"/>
    <mergeCell ref="N6:O8"/>
    <mergeCell ref="P6:Q8"/>
    <mergeCell ref="E7:H7"/>
    <mergeCell ref="I7:M7"/>
    <mergeCell ref="I40:Q40"/>
    <mergeCell ref="D45:F45"/>
    <mergeCell ref="K45:M45"/>
    <mergeCell ref="D46:F46"/>
    <mergeCell ref="K46:M46"/>
  </mergeCells>
  <printOptions horizontalCentered="1"/>
  <pageMargins left="0" right="0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12</vt:i4>
      </vt:variant>
    </vt:vector>
  </HeadingPairs>
  <TitlesOfParts>
    <vt:vector size="22" baseType="lpstr">
      <vt:lpstr>CONSO BOAS 2023 (FC1,2,3,4,7)</vt:lpstr>
      <vt:lpstr>WORKING PAPER FC1</vt:lpstr>
      <vt:lpstr>FC2</vt:lpstr>
      <vt:lpstr>CONSO 2024 FC 1, 2, 3, 7</vt:lpstr>
      <vt:lpstr>FC1 2024</vt:lpstr>
      <vt:lpstr>FC 3 2024</vt:lpstr>
      <vt:lpstr> FC 7 2024</vt:lpstr>
      <vt:lpstr>FC 4 DECEMBER</vt:lpstr>
      <vt:lpstr>FC 6 DECEMBER</vt:lpstr>
      <vt:lpstr> FC 7 </vt:lpstr>
      <vt:lpstr>' FC 7 '!Print_Area</vt:lpstr>
      <vt:lpstr>' FC 7 2024'!Print_Area</vt:lpstr>
      <vt:lpstr>'CONSO 2024 FC 1, 2, 3, 7'!Print_Area</vt:lpstr>
      <vt:lpstr>'CONSO BOAS 2023 (FC1,2,3,4,7)'!Print_Area</vt:lpstr>
      <vt:lpstr>'FC 3 2024'!Print_Area</vt:lpstr>
      <vt:lpstr>'FC 4 DECEMBER'!Print_Area</vt:lpstr>
      <vt:lpstr>'FC 6 DECEMBER'!Print_Area</vt:lpstr>
      <vt:lpstr>'FC1 2024'!Print_Area</vt:lpstr>
      <vt:lpstr>'FC2'!Print_Area</vt:lpstr>
      <vt:lpstr>'CONSO 2024 FC 1, 2, 3, 7'!Print_Titles</vt:lpstr>
      <vt:lpstr>'CONSO BOAS 2023 (FC1,2,3,4,7)'!Print_Titles</vt:lpstr>
      <vt:lpstr>'FC1 2024'!Print_Titles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Valene G. Miñoza</dc:creator>
  <cp:lastModifiedBy>Valene G. Miñoza</cp:lastModifiedBy>
  <cp:lastPrinted>2024-01-18T05:37:59Z</cp:lastPrinted>
  <dcterms:created xsi:type="dcterms:W3CDTF">2023-02-02T01:48:07Z</dcterms:created>
  <dcterms:modified xsi:type="dcterms:W3CDTF">2025-01-14T08:36:56Z</dcterms:modified>
</cp:coreProperties>
</file>